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<sst xmlns="http://schemas.openxmlformats.org/spreadsheetml/2006/main" count="3788" uniqueCount="2996">
  <si>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</si>
  <si>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</si>
  <si>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</si>
  <si>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</si>
  <si>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</si>
  <si>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</si>
  <si>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</si>
  <si>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</si>
  <si>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</si>
  <si>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</si>
  <si>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</si>
  <si>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</si>
  <si>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</si>
  <si>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</si>
  <si>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</si>
  <si>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</si>
  <si>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</si>
  <si>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</si>
  <si>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</si>
  <si>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</si>
  <si>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</si>
  <si>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</si>
  <si>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</si>
  <si>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</si>
  <si>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</si>
  <si>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</si>
  <si>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</si>
  <si>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</si>
  <si>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</si>
  <si>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</si>
  <si>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</si>
  <si>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</si>
  <si>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</si>
  <si>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</si>
  <si>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</si>
  <si>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</si>
  <si>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</si>
  <si>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</si>
  <si>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</si>
  <si>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</si>
  <si>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</si>
  <si>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</si>
  <si>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</si>
  <si>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</si>
  <si>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</si>
  <si>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</si>
  <si>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</si>
  <si>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</si>
  <si>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</si>
  <si>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</si>
  <si>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</si>
  <si>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</si>
  <si>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</si>
  <si>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</si>
  <si>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</si>
  <si>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</si>
  <si>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</si>
  <si>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</si>
  <si>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</si>
  <si>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</si>
  <si>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</si>
  <si>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</si>
  <si>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</si>
  <si>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</si>
  <si>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</si>
  <si>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</si>
  <si>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</si>
  <si>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</si>
  <si>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</si>
  <si>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</si>
  <si>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</si>
  <si>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</si>
  <si>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</si>
  <si>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</si>
  <si>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</si>
  <si>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</si>
  <si>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</si>
  <si>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</si>
  <si>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</si>
  <si>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</si>
  <si>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</si>
  <si>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</si>
  <si>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</si>
  <si>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</si>
  <si>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</si>
  <si>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</si>
  <si>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</si>
  <si>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</si>
  <si>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</si>
  <si>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</si>
  <si>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</si>
  <si>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</si>
  <si>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</si>
  <si>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</si>
  <si>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</si>
  <si>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</si>
  <si>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</si>
  <si>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</si>
  <si>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</si>
  <si>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</si>
  <si>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</si>
  <si>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</si>
  <si>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</si>
  <si>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</si>
  <si>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</si>
  <si>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</si>
  <si>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</si>
  <si>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</si>
  <si>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</si>
  <si>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</si>
  <si>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</si>
  <si>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</si>
  <si>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</si>
  <si>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</si>
  <si>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</si>
  <si>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</si>
  <si>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</si>
  <si>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</si>
  <si>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</si>
  <si>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</si>
  <si>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</si>
  <si>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</si>
  <si>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</si>
  <si>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</si>
  <si>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</si>
  <si>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</si>
  <si>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</si>
  <si>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</si>
  <si>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</si>
  <si>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</si>
  <si>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</si>
  <si>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</si>
  <si>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</si>
  <si>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</si>
  <si>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</si>
  <si>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</si>
  <si>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</si>
  <si>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</si>
  <si>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</si>
  <si>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</si>
  <si>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</si>
  <si>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</si>
  <si>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</si>
  <si>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</si>
  <si>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</si>
  <si>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</si>
  <si>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</si>
  <si>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</si>
  <si>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</si>
  <si>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</si>
  <si>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</si>
  <si>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</si>
  <si>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</si>
  <si>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</si>
  <si>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</si>
  <si>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</si>
  <si>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</si>
  <si>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</si>
  <si>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</si>
  <si>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</si>
  <si>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</si>
  <si>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</si>
  <si>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</si>
  <si>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</si>
  <si>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</si>
  <si>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</si>
  <si>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</si>
  <si>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</si>
  <si>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</si>
  <si>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</si>
  <si>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</si>
  <si>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</si>
  <si>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</si>
  <si>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</si>
  <si>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</si>
  <si>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</si>
  <si>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</si>
  <si>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</si>
  <si>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</si>
  <si>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</si>
  <si>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</si>
  <si>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</si>
  <si>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</si>
  <si>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</si>
  <si>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</si>
  <si>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</si>
  <si>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</si>
  <si>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</si>
  <si>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</si>
  <si>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</si>
  <si>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</si>
  <si>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</si>
  <si>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</si>
  <si>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</si>
  <si>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</si>
  <si>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</si>
  <si>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</si>
  <si>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</si>
  <si>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</si>
  <si>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</si>
  <si>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</si>
  <si>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</si>
  <si>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</si>
  <si>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</si>
  <si>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</si>
  <si>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</si>
  <si>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</si>
  <si>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</si>
  <si>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</si>
  <si>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</si>
  <si>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</si>
  <si>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</si>
  <si>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</si>
  <si>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</si>
  <si>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</si>
  <si>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</si>
  <si>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</si>
  <si>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</si>
  <si>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</si>
  <si>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</si>
  <si>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</si>
  <si>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</si>
  <si>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</si>
  <si>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</si>
  <si>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</si>
  <si>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</si>
  <si>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</si>
  <si>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</si>
  <si>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</si>
  <si>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</si>
  <si>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</si>
  <si>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</si>
  <si>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</si>
  <si>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</si>
  <si>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</si>
  <si>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</si>
  <si>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</si>
  <si>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</si>
  <si>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</si>
  <si>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</si>
  <si>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</si>
  <si>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</si>
  <si>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</si>
  <si>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</si>
  <si>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</si>
  <si>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</si>
  <si>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</si>
  <si>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</si>
  <si>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</si>
  <si>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</si>
  <si>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</si>
  <si>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</si>
  <si>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</si>
  <si>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</si>
  <si>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</si>
  <si>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</si>
  <si>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</si>
  <si>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</si>
  <si>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</si>
  <si>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</si>
  <si>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</si>
  <si>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</si>
  <si>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</si>
  <si>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</si>
  <si>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</si>
  <si>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</si>
  <si>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</si>
  <si>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</si>
  <si>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</si>
  <si>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</si>
  <si>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</si>
  <si>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</si>
  <si>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</si>
  <si>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</si>
  <si>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</si>
  <si>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</si>
  <si>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</si>
  <si>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</si>
  <si>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</si>
  <si>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</si>
  <si>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</si>
  <si>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</si>
  <si>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</si>
  <si>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</si>
  <si>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</si>
  <si>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</si>
  <si>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</si>
  <si>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</si>
  <si>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</si>
  <si>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</si>
  <si>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</si>
  <si>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</si>
  <si>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</si>
  <si>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</si>
  <si>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</si>
  <si>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</si>
  <si>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</si>
  <si>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</si>
  <si>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</si>
  <si>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</si>
  <si>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</si>
  <si>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</si>
  <si>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</si>
  <si>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</si>
  <si>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</si>
  <si>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</si>
  <si>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</si>
  <si>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</si>
  <si>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</si>
  <si>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</si>
  <si>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</si>
  <si>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</si>
  <si>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</si>
  <si>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</si>
  <si>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</si>
  <si>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</si>
  <si>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</si>
  <si>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</si>
  <si>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</si>
  <si>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</si>
  <si>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</si>
  <si>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</si>
  <si>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</si>
  <si>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</si>
  <si>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</si>
  <si>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</si>
  <si>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</si>
  <si>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</si>
  <si>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</si>
  <si>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</si>
  <si>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</si>
  <si>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</si>
  <si>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</si>
  <si>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</si>
  <si>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</si>
  <si>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</si>
  <si>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</si>
  <si>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</si>
  <si>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</si>
  <si>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</si>
  <si>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</si>
  <si>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</si>
  <si>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</si>
  <si>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</si>
  <si>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</si>
  <si>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</si>
  <si>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</si>
  <si>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</si>
  <si>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</si>
  <si>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</si>
  <si>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</si>
  <si>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</si>
  <si>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</si>
  <si>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</si>
  <si>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</si>
  <si>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</si>
  <si>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</si>
  <si>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</si>
  <si>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</si>
  <si>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</si>
  <si>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</si>
  <si>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</si>
  <si>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</si>
  <si>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</si>
  <si>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</si>
  <si>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</si>
  <si>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</si>
  <si>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</si>
  <si>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</si>
  <si>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</si>
  <si>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</si>
  <si>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</si>
  <si>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</si>
  <si>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</si>
  <si>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</si>
  <si>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</si>
  <si>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</si>
  <si>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</si>
  <si>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</si>
  <si>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</si>
  <si>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</si>
  <si>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</si>
  <si>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</si>
  <si>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</si>
  <si>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</si>
  <si>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</si>
  <si>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</si>
  <si>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</si>
  <si>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</si>
  <si>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</si>
  <si>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</si>
  <si>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</si>
  <si>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</si>
  <si>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</si>
  <si>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</si>
  <si>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</si>
  <si>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</si>
  <si>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</si>
  <si>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</si>
  <si>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</si>
  <si>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</si>
  <si>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</si>
  <si>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</si>
  <si>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</si>
  <si>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</si>
  <si>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</si>
  <si>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</si>
  <si>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</si>
  <si>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</si>
  <si>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</si>
  <si>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</si>
  <si>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</si>
  <si>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</si>
  <si>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</si>
  <si>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</si>
  <si>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</si>
  <si>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</si>
  <si>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</si>
  <si>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</si>
  <si>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</si>
  <si>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</si>
  <si>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</si>
  <si>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</si>
  <si>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</si>
  <si>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</si>
  <si>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</si>
  <si>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</si>
  <si>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</si>
  <si>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</si>
  <si>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</si>
  <si>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</si>
  <si>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</si>
  <si>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</si>
  <si>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</si>
  <si>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</si>
  <si>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</si>
  <si>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</si>
  <si>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</si>
  <si>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</si>
  <si>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</si>
  <si>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</si>
  <si>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</si>
  <si>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</si>
  <si>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</si>
  <si>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</si>
  <si>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</si>
  <si>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</si>
  <si>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</si>
  <si>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</si>
  <si>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</si>
  <si>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</si>
  <si>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</si>
  <si>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</si>
  <si>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</si>
  <si>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</si>
  <si>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</si>
  <si>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</si>
  <si>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</si>
  <si>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</si>
  <si>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</si>
  <si>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</si>
  <si>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</si>
  <si>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</si>
  <si>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</si>
  <si>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</si>
  <si>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</si>
  <si>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</si>
  <si>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</si>
  <si>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</si>
  <si>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</si>
  <si>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</si>
  <si>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</si>
  <si>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</si>
  <si>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</si>
  <si>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</si>
  <si>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</si>
  <si>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</si>
  <si>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</si>
  <si>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</si>
  <si>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</si>
  <si>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</si>
  <si>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</si>
  <si>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</si>
  <si>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</si>
  <si>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</si>
  <si>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</si>
  <si>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</si>
  <si>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</si>
  <si>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</si>
  <si>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</si>
  <si>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</si>
  <si>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</si>
  <si>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</si>
  <si>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</si>
  <si>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</si>
  <si>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</si>
  <si>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</si>
  <si>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</si>
  <si>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</si>
  <si>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</si>
  <si>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</si>
  <si>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</si>
  <si>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</si>
  <si>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</si>
  <si>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</si>
  <si>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</si>
  <si>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</si>
  <si>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</si>
  <si>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</si>
  <si>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</si>
  <si>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</si>
  <si>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</si>
  <si>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</si>
  <si>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</si>
  <si>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</si>
  <si>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</si>
  <si>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</si>
  <si>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</si>
  <si>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</si>
  <si>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</si>
  <si>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</si>
  <si>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</si>
  <si>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</si>
  <si>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</si>
  <si>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</si>
  <si>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</si>
  <si>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</si>
  <si>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</si>
  <si>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</si>
  <si>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</si>
  <si>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</si>
  <si>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</si>
  <si>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</si>
  <si>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</si>
  <si>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</si>
  <si>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</si>
  <si>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</si>
  <si>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</si>
  <si>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</si>
  <si>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</si>
  <si>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</si>
  <si>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</si>
  <si>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</si>
  <si>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</si>
  <si>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</si>
  <si>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</si>
  <si>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</si>
  <si>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</si>
  <si>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</si>
  <si>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</si>
  <si>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</si>
  <si>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</si>
  <si>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</si>
  <si>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</si>
  <si>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</si>
  <si>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</si>
  <si>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</si>
  <si>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</si>
  <si>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</si>
  <si>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</si>
  <si>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</si>
  <si>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</si>
  <si>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</si>
  <si>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</si>
  <si>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</si>
  <si>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</si>
  <si>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</si>
  <si>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</si>
  <si>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</si>
  <si>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</si>
  <si>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</si>
  <si>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</si>
  <si>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</si>
  <si>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</si>
  <si>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</si>
  <si>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</si>
  <si>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</si>
  <si>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</si>
  <si>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</si>
  <si>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</si>
  <si>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</si>
  <si>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</si>
  <si>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</si>
  <si>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</si>
  <si>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</si>
  <si>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</si>
  <si>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</si>
  <si>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</si>
  <si>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</si>
  <si>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</si>
  <si>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</si>
  <si>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</si>
  <si>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</si>
  <si>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</si>
  <si>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</si>
  <si>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</si>
  <si>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</si>
  <si>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</si>
  <si>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</si>
  <si>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</si>
  <si>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</si>
  <si>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</si>
  <si>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</si>
  <si>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</si>
  <si>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</si>
  <si>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</si>
  <si>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</si>
  <si>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</si>
  <si>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</si>
  <si>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</si>
  <si>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</si>
  <si>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</si>
  <si>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</si>
  <si>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</si>
  <si>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</si>
  <si>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</si>
  <si>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</si>
  <si>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</si>
  <si>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</si>
  <si>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</si>
  <si>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</si>
  <si>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</si>
  <si>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</si>
  <si>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</si>
  <si>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</si>
  <si>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</si>
  <si>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</si>
  <si>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</si>
  <si>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</si>
  <si>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</si>
  <si>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</si>
  <si>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</si>
  <si>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</si>
  <si>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</si>
  <si>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</si>
  <si>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</si>
  <si>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</si>
  <si>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</si>
  <si>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</si>
  <si>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</si>
  <si>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</si>
  <si>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</si>
  <si>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</si>
  <si>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</si>
  <si>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</si>
  <si>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</si>
  <si>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</si>
  <si>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</si>
  <si>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</si>
  <si>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</si>
  <si>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</si>
  <si>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</si>
  <si>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</si>
  <si>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</si>
  <si>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</si>
  <si>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</si>
  <si>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</si>
  <si>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</si>
  <si>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</si>
  <si>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</si>
  <si>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</si>
  <si>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</si>
  <si>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</si>
  <si>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</si>
  <si>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</si>
  <si>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</si>
  <si>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</si>
  <si>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</si>
  <si>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</si>
  <si>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</si>
  <si>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</si>
  <si>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</si>
  <si>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</si>
  <si>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</si>
  <si>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</si>
  <si>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</si>
  <si>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</si>
  <si>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</si>
  <si>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</si>
  <si>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</si>
  <si>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</si>
  <si>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</si>
  <si>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</si>
  <si>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</si>
  <si>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</si>
  <si>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</si>
  <si>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</si>
  <si>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</si>
  <si>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</si>
  <si>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</si>
  <si>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</si>
  <si>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</si>
  <si>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</si>
  <si>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</si>
  <si>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</si>
  <si>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</si>
  <si>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</si>
  <si>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</si>
  <si>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</si>
  <si>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</si>
  <si>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</si>
  <si>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</si>
  <si>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</si>
  <si>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</si>
  <si>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</si>
  <si>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</si>
  <si>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</si>
  <si>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</si>
  <si>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</si>
  <si>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</si>
  <si>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</si>
  <si>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</si>
  <si>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</si>
  <si>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</si>
  <si>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</si>
  <si>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</si>
  <si>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</si>
  <si>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</si>
  <si>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</si>
  <si>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</si>
  <si>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</si>
  <si>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</si>
  <si>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</si>
  <si>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</si>
  <si>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</si>
  <si>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</si>
  <si>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</si>
  <si>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</si>
  <si>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</si>
  <si>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</si>
  <si>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</si>
  <si>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</si>
  <si>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</si>
  <si>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</si>
  <si>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</si>
  <si>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</si>
  <si>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</si>
  <si>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</si>
  <si>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</si>
  <si>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</si>
  <si>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</si>
  <si>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</si>
  <si>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</si>
  <si>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</si>
  <si>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</si>
  <si>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</si>
  <si>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</si>
  <si>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</si>
  <si>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</si>
  <si>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</si>
  <si>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</si>
  <si>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</si>
  <si>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</si>
  <si>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</si>
  <si>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</si>
  <si>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</si>
  <si>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</si>
  <si>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</si>
  <si>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</si>
  <si>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</si>
  <si>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</si>
  <si>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</si>
  <si>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</si>
  <si>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</si>
  <si>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</si>
  <si>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</si>
  <si>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</si>
  <si>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</si>
  <si>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</si>
  <si>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</si>
  <si>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</si>
  <si>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</si>
  <si>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</si>
  <si>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</si>
  <si>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</si>
  <si>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</si>
  <si>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</si>
  <si>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</si>
  <si>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</si>
  <si>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</si>
  <si>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</si>
  <si>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</si>
  <si>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</si>
  <si>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</si>
  <si>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</si>
  <si>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</si>
  <si>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</si>
  <si>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</si>
  <si>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</si>
  <si>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</si>
  <si>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</si>
  <si>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</si>
  <si>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</si>
  <si>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</si>
  <si>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</si>
  <si>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</si>
  <si>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</si>
  <si>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</si>
  <si>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</si>
  <si>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</si>
  <si>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</si>
  <si>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</si>
  <si>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</si>
  <si>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</si>
  <si>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</si>
  <si>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</si>
  <si>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</si>
  <si>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</si>
  <si>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</si>
  <si>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</si>
  <si>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</si>
  <si>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</si>
  <si>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</si>
  <si>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</si>
  <si>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</si>
  <si>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</si>
  <si>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</si>
  <si>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</si>
  <si>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</si>
  <si>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</si>
  <si>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</si>
  <si>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</si>
  <si>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</si>
  <si>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</si>
  <si>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</si>
  <si>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</si>
  <si>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</si>
  <si>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</si>
  <si>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</si>
  <si>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</si>
  <si>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</si>
  <si>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</si>
  <si>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</si>
  <si>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</si>
  <si>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</si>
  <si>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</si>
  <si>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</si>
  <si>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</si>
  <si>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</si>
  <si>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</si>
  <si>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</si>
  <si>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</si>
  <si>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</si>
  <si>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</si>
  <si>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</si>
  <si>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</si>
  <si>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</si>
  <si>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</si>
  <si>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</si>
  <si>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</si>
  <si>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</si>
  <si>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</si>
  <si>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</si>
  <si>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</si>
  <si>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</si>
  <si>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</si>
  <si>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</si>
  <si>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</si>
  <si>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</si>
  <si>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</si>
  <si>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</si>
  <si>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</si>
  <si>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</si>
  <si>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</si>
  <si>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</si>
  <si>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</si>
  <si>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</si>
  <si>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</si>
  <si>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</si>
  <si>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</si>
  <si>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</si>
  <si>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</si>
  <si>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</si>
  <si>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</si>
  <si>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</si>
  <si>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</si>
  <si>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</si>
  <si>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</si>
  <si>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</si>
  <si>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</si>
  <si>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</si>
  <si>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</si>
  <si>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</si>
  <si>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</si>
  <si>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</si>
  <si>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</si>
  <si>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</si>
  <si>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</si>
  <si>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</si>
  <si>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</si>
  <si>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</si>
  <si>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</si>
  <si>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</si>
  <si>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</si>
  <si>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</si>
  <si>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</si>
  <si>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</si>
  <si>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</si>
  <si>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</si>
  <si>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</si>
  <si>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</si>
  <si>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</si>
  <si>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</si>
  <si>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</si>
  <si>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</si>
  <si>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</si>
  <si>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</si>
  <si>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</si>
  <si>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</si>
  <si>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</si>
  <si>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</si>
  <si>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</si>
  <si>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</si>
  <si>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</si>
  <si>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</si>
  <si>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</si>
  <si>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</si>
  <si>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</si>
  <si>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</si>
  <si>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</si>
  <si>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</si>
  <si>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</si>
  <si>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</si>
  <si>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</si>
  <si>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</si>
  <si>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</si>
  <si>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</si>
  <si>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</si>
  <si>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</si>
  <si>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</si>
  <si>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</si>
  <si>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</si>
  <si>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</si>
  <si>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</si>
  <si>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</si>
  <si>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</si>
  <si>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</si>
  <si>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</si>
  <si>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</si>
  <si>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</si>
  <si>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</si>
  <si>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</si>
  <si>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</si>
  <si>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</si>
  <si>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</si>
  <si>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</si>
  <si>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</si>
  <si>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</si>
  <si>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</si>
  <si>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</si>
  <si>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</si>
  <si>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</si>
  <si>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</si>
  <si>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</si>
  <si>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</si>
  <si>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</si>
  <si>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</si>
  <si>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</si>
  <si>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</si>
  <si>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</si>
  <si>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</si>
  <si>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</si>
  <si>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</si>
  <si>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</si>
  <si>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</si>
  <si>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</si>
  <si>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</si>
  <si>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</si>
  <si>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</si>
  <si>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</si>
  <si>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</si>
  <si>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</si>
  <si>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</si>
  <si>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</si>
  <si>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</si>
  <si>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</si>
  <si>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</si>
  <si>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</si>
  <si>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</si>
  <si>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</si>
  <si>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</si>
  <si>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</si>
  <si>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</si>
  <si>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</si>
  <si>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</si>
  <si>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</si>
  <si>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</si>
  <si>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</si>
  <si>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</si>
  <si>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</si>
  <si>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</si>
  <si>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</si>
  <si>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</si>
  <si>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</si>
  <si>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</si>
  <si>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</si>
  <si>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</si>
  <si>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</si>
  <si>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</si>
  <si>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</si>
  <si>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</si>
  <si>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</si>
  <si>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</si>
  <si>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</si>
  <si>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</si>
  <si>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</si>
  <si>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</si>
  <si>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</si>
  <si>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</si>
  <si>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</si>
  <si>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</si>
  <si>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</si>
  <si>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</si>
  <si>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</si>
  <si>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</si>
  <si>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</si>
  <si>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</si>
  <si>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</si>
  <si>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</si>
  <si>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</si>
  <si>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</si>
  <si>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</si>
  <si>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</si>
  <si>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</si>
  <si>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</si>
  <si>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</si>
  <si>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</si>
  <si>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</si>
  <si>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</si>
  <si>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</si>
  <si>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</si>
  <si>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</si>
  <si>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</si>
  <si>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</si>
  <si>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</si>
  <si>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</si>
  <si>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</si>
  <si>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</si>
  <si>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</si>
  <si>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</si>
  <si>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</si>
  <si>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</si>
  <si>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</si>
  <si>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</si>
  <si>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</si>
  <si>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</si>
  <si>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</si>
  <si>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</si>
  <si>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</si>
  <si>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</si>
  <si>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</si>
  <si>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</si>
  <si>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</si>
  <si>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</si>
  <si>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</si>
  <si>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</si>
  <si>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</si>
  <si>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</si>
  <si>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</si>
  <si>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</si>
  <si>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</si>
  <si>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</si>
  <si>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</si>
  <si>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</si>
  <si>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</si>
  <si>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</si>
  <si>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</si>
  <si>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</si>
  <si>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</si>
  <si>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</si>
  <si>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</si>
  <si>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</si>
  <si>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</si>
  <si>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</si>
  <si>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</si>
  <si>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</si>
  <si>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</si>
  <si>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</si>
  <si>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</si>
  <si>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</si>
  <si>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</si>
  <si>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</si>
  <si>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</si>
  <si>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</si>
  <si>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</si>
  <si>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</si>
  <si>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</si>
  <si>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</si>
  <si>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</si>
  <si>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</si>
  <si>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</si>
  <si>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</si>
  <si>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</si>
  <si>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</si>
  <si>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</si>
  <si>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</si>
  <si>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</si>
  <si>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</si>
  <si>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</si>
  <si>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</si>
  <si>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</si>
  <si>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</si>
  <si>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</si>
  <si>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</si>
  <si>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</si>
  <si>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</si>
  <si>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</si>
  <si>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</si>
  <si>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</si>
  <si>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</si>
  <si>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</si>
  <si>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</si>
  <si>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</si>
  <si>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</si>
  <si>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</si>
  <si>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</si>
  <si>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</si>
  <si>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</si>
  <si>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</si>
  <si>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</si>
  <si>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</si>
  <si>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</si>
  <si>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</si>
  <si>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</si>
  <si>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</si>
  <si>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</si>
  <si>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</si>
  <si>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</si>
  <si>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</si>
  <si>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</si>
  <si>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</si>
  <si>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</si>
  <si>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</si>
  <si>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</si>
  <si>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</si>
  <si>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</si>
  <si>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</si>
  <si>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</si>
  <si>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</si>
  <si>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</si>
  <si>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</si>
  <si>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</si>
  <si>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</si>
  <si>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</si>
  <si>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</si>
  <si>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</si>
  <si>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</si>
  <si>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</si>
  <si>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</si>
  <si>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</si>
  <si>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</si>
  <si>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</si>
  <si>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</si>
  <si>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</si>
  <si>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</si>
  <si>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</si>
  <si>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</si>
  <si>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</si>
  <si>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</si>
  <si>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</si>
  <si>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</si>
  <si>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</si>
  <si>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</si>
  <si>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</si>
  <si>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</si>
  <si>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</si>
  <si>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</si>
  <si>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</si>
  <si>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</si>
  <si>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</si>
  <si>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</si>
  <si>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</si>
  <si>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</si>
  <si>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</si>
  <si>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</si>
  <si>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</si>
  <si>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</si>
  <si>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</si>
  <si>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</si>
  <si>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</si>
  <si>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</si>
  <si>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</si>
  <si>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</si>
  <si>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</si>
  <si>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</si>
  <si>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</si>
  <si>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</si>
  <si>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</si>
  <si>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</si>
  <si>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</si>
  <si>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</si>
  <si>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</si>
  <si>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</si>
  <si>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</si>
  <si>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</si>
  <si>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</si>
  <si>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</si>
  <si>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</si>
  <si>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</si>
  <si>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</si>
  <si>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</si>
  <si>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</si>
  <si>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</si>
  <si>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</si>
  <si>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</si>
  <si>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</si>
  <si>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</si>
  <si>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</si>
  <si>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</si>
  <si>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</si>
  <si>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</si>
  <si>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</si>
  <si>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</si>
  <si>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</si>
  <si>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</si>
  <si>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</si>
  <si>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</si>
  <si>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</si>
  <si>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</si>
  <si>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</si>
  <si>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</si>
  <si>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</si>
  <si>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</si>
  <si>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</si>
  <si>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</si>
  <si>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</si>
  <si>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</si>
  <si>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</si>
  <si>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</si>
  <si>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</si>
  <si>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</si>
  <si>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</si>
  <si>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</si>
  <si>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</si>
  <si>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</si>
  <si>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</si>
  <si>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</si>
  <si>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</si>
  <si>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</si>
  <si>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</si>
  <si>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</si>
  <si>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</si>
  <si>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</si>
  <si>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</si>
  <si>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</si>
  <si>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</si>
  <si>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</si>
  <si>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</si>
  <si>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</si>
  <si>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</si>
  <si>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</si>
  <si>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</si>
  <si>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</si>
  <si>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</si>
  <si>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</si>
  <si>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</si>
  <si>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</si>
  <si>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</si>
  <si>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</si>
  <si>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</si>
  <si>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</si>
  <si>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</si>
  <si>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</si>
  <si>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</si>
  <si>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</si>
  <si>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</si>
  <si>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</si>
  <si>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</si>
  <si>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</si>
  <si>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</si>
  <si>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</si>
  <si>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</si>
  <si>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</si>
  <si>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</si>
  <si>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</si>
  <si>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</si>
  <si>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</si>
  <si>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</si>
  <si>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</si>
  <si>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</si>
  <si>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</si>
  <si>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</si>
  <si>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</si>
  <si>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</si>
  <si>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</si>
  <si>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</si>
  <si>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</si>
  <si>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</si>
  <si>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</si>
  <si>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</si>
  <si>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</si>
  <si>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</si>
  <si>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</si>
  <si>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</si>
  <si>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</si>
  <si>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</si>
  <si>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</si>
  <si>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</si>
  <si>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</si>
  <si>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</si>
  <si>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</si>
  <si>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</si>
  <si>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</si>
  <si>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</si>
  <si>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</si>
  <si>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</si>
  <si>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</si>
  <si>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</si>
  <si>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</si>
  <si>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</si>
  <si>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</si>
  <si>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</si>
  <si>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</si>
  <si>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</si>
  <si>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</si>
  <si>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</si>
  <si>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</si>
  <si>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</si>
  <si>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</si>
  <si>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</si>
  <si>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</si>
  <si>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</si>
  <si>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</si>
  <si>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</si>
  <si>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</si>
  <si>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</si>
  <si>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</si>
  <si>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</si>
  <si>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</si>
  <si>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</si>
  <si>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</si>
  <si>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</si>
  <si>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</si>
  <si>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</si>
  <si>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</si>
  <si>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</si>
  <si>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</si>
  <si>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</si>
  <si>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</si>
  <si>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</si>
  <si>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</si>
  <si>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</si>
  <si>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</si>
  <si>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</si>
  <si>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</si>
  <si>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</si>
  <si>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</si>
  <si>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</si>
  <si>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</si>
  <si>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</si>
  <si>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</si>
  <si>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</si>
  <si>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</si>
  <si>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</si>
  <si>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</si>
  <si>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</si>
  <si>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</si>
  <si>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</si>
  <si>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</si>
  <si>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</si>
  <si>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</si>
  <si>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</si>
  <si>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</si>
  <si>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</si>
  <si>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</si>
  <si>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</si>
  <si>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</si>
  <si>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</si>
  <si>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</si>
  <si>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</si>
  <si>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</si>
  <si>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</si>
  <si>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</si>
  <si>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</si>
  <si>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</si>
  <si>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</si>
  <si>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</si>
  <si>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</si>
  <si>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</si>
  <si>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</si>
  <si>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</si>
  <si>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</si>
  <si>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</si>
  <si>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</si>
  <si>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</si>
  <si>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</si>
  <si>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</si>
  <si>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</si>
  <si>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</si>
  <si>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</si>
  <si>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</si>
  <si>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</si>
  <si>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</si>
  <si>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</si>
  <si>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</si>
  <si>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</si>
  <si>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</si>
  <si>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</si>
  <si>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</si>
  <si>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</si>
  <si>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</si>
  <si>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</si>
  <si>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</si>
  <si>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</si>
  <si>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</si>
  <si>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</si>
  <si>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</si>
  <si>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</si>
  <si>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</si>
  <si>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</si>
  <si>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</si>
  <si>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</si>
  <si>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</si>
  <si>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</si>
  <si>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</si>
  <si>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</si>
  <si>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</si>
  <si>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</si>
  <si>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</si>
  <si>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</si>
  <si>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</si>
  <si>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</si>
  <si>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</si>
  <si>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</si>
  <si>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</si>
  <si>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</si>
  <si>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</si>
  <si>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</si>
  <si>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</si>
  <si>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</si>
  <si>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</si>
  <si>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</si>
  <si>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</si>
  <si>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</si>
  <si>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</si>
  <si>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</si>
  <si>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</si>
  <si>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</si>
  <si>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</si>
  <si>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</si>
  <si>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</si>
  <si>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</si>
  <si>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</si>
  <si>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</si>
  <si>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</si>
  <si>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</si>
  <si>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</si>
  <si>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</si>
  <si>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</si>
  <si>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</si>
  <si>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</si>
  <si>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</si>
  <si>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</si>
  <si>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</si>
  <si>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</si>
  <si>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</si>
  <si>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</si>
  <si>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</si>
  <si>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</si>
  <si>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</si>
  <si>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</si>
  <si>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</si>
  <si>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</si>
  <si>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</si>
  <si>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</si>
  <si>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</si>
  <si>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</si>
  <si>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</si>
  <si>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</si>
  <si>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</si>
  <si>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</si>
  <si>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</si>
  <si>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</si>
  <si>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</si>
  <si>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</si>
  <si>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</si>
  <si>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</si>
  <si>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</si>
  <si>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</si>
  <si>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</si>
  <si>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</si>
  <si>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</si>
  <si>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</si>
  <si>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</si>
  <si>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</si>
  <si>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</si>
  <si>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</si>
  <si>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</si>
  <si>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</si>
  <si>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</si>
  <si>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</si>
  <si>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</si>
  <si>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</si>
  <si>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</si>
  <si>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</si>
  <si>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</si>
  <si>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</si>
  <si>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</si>
  <si>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</si>
  <si>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</si>
  <si>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</si>
  <si>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</si>
  <si>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</si>
  <si>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</si>
  <si>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</si>
  <si>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</si>
  <si>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</si>
  <si>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</si>
  <si>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</si>
  <si>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</si>
  <si>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</si>
  <si>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</si>
  <si>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</si>
  <si>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</si>
  <si>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</si>
  <si>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</si>
  <si>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</si>
  <si>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</si>
  <si>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</si>
  <si>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</si>
  <si>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</si>
  <si>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</si>
  <si>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</si>
  <si>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</si>
  <si>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</si>
  <si>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</si>
  <si>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</si>
  <si>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</si>
  <si>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</si>
  <si>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</si>
  <si>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</si>
  <si>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</si>
  <si>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</si>
  <si>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</si>
  <si>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</si>
  <si>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</si>
  <si>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</si>
  <si>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</si>
  <si>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</si>
  <si>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</si>
  <si>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</si>
  <si>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</si>
  <si>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</si>
  <si>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</si>
  <si>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</si>
  <si>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</si>
  <si>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</si>
  <si>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</si>
  <si>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</si>
  <si>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</si>
  <si>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</si>
  <si>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</si>
  <si>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</si>
  <si>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</si>
  <si>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</si>
  <si>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</si>
  <si>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</si>
  <si>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</si>
  <si>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</si>
  <si>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</si>
  <si>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</si>
  <si>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</si>
  <si>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</si>
  <si>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</si>
  <si>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</si>
  <si>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</si>
  <si>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</si>
  <si>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</si>
  <si>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</si>
  <si>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</si>
  <si>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</si>
  <si>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</si>
  <si>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</si>
  <si>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</si>
  <si>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</si>
  <si>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</si>
  <si>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</si>
  <si>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</si>
  <si>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</si>
  <si>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</si>
  <si>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</si>
  <si>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</si>
  <si>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</si>
  <si>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</si>
  <si>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</si>
  <si>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</si>
  <si>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</si>
  <si>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</si>
  <si>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</si>
  <si>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</si>
  <si>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</si>
  <si>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</si>
  <si>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</si>
  <si>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</si>
  <si>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</si>
  <si>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</si>
  <si>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</si>
  <si>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</si>
  <si>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</si>
  <si>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</si>
  <si>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</si>
  <si>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</si>
  <si>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</si>
  <si>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</si>
  <si>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</si>
  <si>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</si>
  <si>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</si>
  <si>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</si>
  <si>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</si>
  <si>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</si>
  <si>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</si>
  <si>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</si>
  <si>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</si>
  <si>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</si>
  <si>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</si>
  <si>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</si>
  <si>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</si>
  <si>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</si>
  <si>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</si>
  <si>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</si>
  <si>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</si>
  <si>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</si>
  <si>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</si>
  <si>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</si>
  <si>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</si>
  <si>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</si>
  <si>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</si>
  <si>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</si>
  <si>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</si>
  <si>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</si>
  <si>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</si>
  <si>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</si>
  <si>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</si>
  <si>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</si>
  <si>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</si>
  <si>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</si>
  <si>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</si>
  <si>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</si>
  <si>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</si>
  <si>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</si>
  <si>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</si>
  <si>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</si>
  <si>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</si>
  <si>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</si>
  <si>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</si>
  <si>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</si>
  <si>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</si>
  <si>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</si>
  <si>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</si>
  <si>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</si>
  <si>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</si>
  <si>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</si>
  <si>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</si>
  <si>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</si>
  <si>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</si>
  <si>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</si>
  <si>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</si>
  <si>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</si>
  <si>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</si>
  <si>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</si>
  <si>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</si>
  <si>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</si>
  <si>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</si>
  <si>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</si>
  <si>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</si>
  <si>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</si>
  <si>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</si>
  <si>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</si>
  <si>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</si>
  <si>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</si>
  <si>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</si>
  <si>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</si>
  <si>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</si>
  <si>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</si>
  <si>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</si>
  <si>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</si>
  <si>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</si>
  <si>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</si>
  <si>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</si>
  <si>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</si>
  <si>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</si>
  <si>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</si>
  <si>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</si>
  <si>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</si>
  <si>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</si>
  <si>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</si>
  <si>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</si>
  <si>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</si>
  <si>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</si>
  <si>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</si>
  <si>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</si>
  <si>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</si>
  <si>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</si>
  <si>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</si>
  <si>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</si>
  <si>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</si>
  <si>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</si>
  <si>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</si>
  <si>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</si>
  <si>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</si>
  <si>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</si>
  <si>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</si>
  <si>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</si>
  <si>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</si>
  <si>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</si>
  <si>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</si>
  <si>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</si>
  <si>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</si>
  <si>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</si>
  <si>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</si>
  <si>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</si>
  <si>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</si>
  <si>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</si>
  <si>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</si>
  <si>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</si>
  <si>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</si>
  <si>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</si>
  <si>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</si>
  <si>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</si>
  <si>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</si>
  <si>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</si>
  <si>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</si>
  <si>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</si>
  <si>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</si>
  <si>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</si>
  <si>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</si>
  <si>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</si>
  <si>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</si>
  <si>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</si>
  <si>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</si>
  <si>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</si>
  <si>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</si>
  <si>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</si>
  <si>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</si>
  <si>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</si>
  <si>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</si>
  <si>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</si>
  <si>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</si>
  <si>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</si>
  <si>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</si>
  <si>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</si>
  <si>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</si>
  <si>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</si>
  <si>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</si>
  <si>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</si>
  <si>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</si>
  <si>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</si>
  <si>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</si>
  <si>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</si>
  <si>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</si>
  <si>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</si>
  <si>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</si>
  <si>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</si>
  <si>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</si>
  <si>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</si>
  <si>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</si>
  <si>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</si>
  <si>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</si>
  <si>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</si>
  <si>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</si>
  <si>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</si>
  <si>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</si>
  <si>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</si>
  <si>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</si>
  <si>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</si>
  <si>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</si>
  <si>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</si>
  <si>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</si>
  <si>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</si>
  <si>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</si>
  <si>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</si>
  <si>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</si>
  <si>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</si>
  <si>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</si>
  <si>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</si>
  <si>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</si>
  <si>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</si>
  <si>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</si>
  <si>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</si>
  <si>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</si>
  <si>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</si>
  <si>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</si>
  <si>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</si>
  <si>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</si>
  <si>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</si>
  <si>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</si>
  <si>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</si>
  <si>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</si>
  <si>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</si>
  <si>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</si>
  <si>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</si>
  <si>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</si>
  <si>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</si>
  <si>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</si>
  <si>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</si>
  <si>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</si>
  <si>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</si>
  <si>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</si>
  <si>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</si>
  <si>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</si>
  <si>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</si>
  <si>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</si>
  <si>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</si>
  <si>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</si>
  <si>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</si>
  <si>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</si>
  <si>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</si>
  <si>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</si>
  <si>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</si>
  <si>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</si>
  <si>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</si>
  <si>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</si>
  <si>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</si>
  <si>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</si>
  <si>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</si>
  <si>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</si>
  <si>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</si>
  <si>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</si>
  <si>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</si>
  <si>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</si>
  <si>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</si>
  <si>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</si>
  <si>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</si>
  <si>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</si>
  <si>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</si>
  <si>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</si>
  <si>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</si>
  <si>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</si>
  <si>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</si>
  <si>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</si>
  <si>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</si>
  <si>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</si>
  <si>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</si>
  <si>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</si>
  <si>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</si>
  <si>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</si>
  <si>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</si>
  <si>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</si>
  <si>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</si>
  <si>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</si>
  <si>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</si>
  <si>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</si>
  <si>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</si>
  <si>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</si>
  <si>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</si>
  <si>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</si>
  <si>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</si>
  <si>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</si>
  <si>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</si>
  <si>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</si>
  <si>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</si>
  <si>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</si>
  <si>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</si>
  <si>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</si>
  <si>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</si>
  <si>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</si>
  <si>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</si>
  <si>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</si>
  <si>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</si>
  <si>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</si>
  <si>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</si>
  <si>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</si>
  <si>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</si>
  <si>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</si>
  <si>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</si>
  <si>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</si>
  <si>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</si>
  <si>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</si>
  <si>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</si>
  <si>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</si>
  <si>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</si>
  <si>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</si>
  <si>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</si>
  <si>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</si>
  <si>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</si>
  <si>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</si>
  <si>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</si>
  <si>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</si>
  <si>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</si>
  <si>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</si>
  <si>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</si>
  <si>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</si>
  <si>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</si>
  <si>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</si>
  <si>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</si>
  <si>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</si>
  <si>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</si>
  <si>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</si>
  <si>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</si>
  <si>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</si>
  <si>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</si>
  <si>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</si>
  <si>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</si>
  <si>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</si>
  <si>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</si>
  <si>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</si>
  <si>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</si>
  <si>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</si>
  <si>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</si>
  <si>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</si>
  <si>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</si>
  <si>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</si>
  <si>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</si>
  <si>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</si>
  <si>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</si>
  <si>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</si>
  <si>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</si>
  <si>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</si>
  <si>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</si>
  <si>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</si>
  <si>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</si>
  <si>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</si>
  <si>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</si>
  <si>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</si>
  <si>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</si>
  <si>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</si>
  <si>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</si>
  <si>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</si>
  <si>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</si>
  <si>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</si>
  <si>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</si>
  <si>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</si>
  <si>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</si>
  <si>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</si>
  <si>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</si>
  <si>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</si>
  <si>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</si>
  <si>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</si>
  <si>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</si>
  <si>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</si>
  <si>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</si>
  <si>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</si>
  <si>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</si>
  <si>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</si>
  <si>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</si>
  <si>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</si>
  <si>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</si>
  <si>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</si>
  <si>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</si>
  <si>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</si>
  <si>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</si>
  <si>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</si>
  <si>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</si>
  <si>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</si>
  <si>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</si>
  <si>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</si>
  <si>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</si>
  <si>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</si>
  <si>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</si>
  <si>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</si>
  <si>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</si>
  <si>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</si>
  <si>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</si>
  <si>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</si>
  <si>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</si>
  <si>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</si>
  <si>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</si>
  <si>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</si>
  <si>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</si>
  <si>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</si>
  <si>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</si>
  <si>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</si>
  <si>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</si>
  <si>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</si>
  <si>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</si>
  <si>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</si>
  <si>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</si>
  <si>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</si>
  <si>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</si>
  <si>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</si>
  <si>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</si>
  <si>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</si>
  <si>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</si>
  <si>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</si>
  <si>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</si>
  <si>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</si>
  <si>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</si>
  <si>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</si>
  <si>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</si>
  <si>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</si>
  <si>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</si>
  <si>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</si>
  <si>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</si>
  <si>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</si>
  <si>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</si>
  <si>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</si>
  <si>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</si>
  <si>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</si>
  <si>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</si>
  <si>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</si>
  <si>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</si>
  <si>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</si>
  <si>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</si>
  <si>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</si>
  <si>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</si>
  <si>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</si>
  <si>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</si>
  <si>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</si>
  <si>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</si>
  <si>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</si>
  <si>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</si>
  <si>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</si>
  <si>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</si>
  <si>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</si>
  <si>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</si>
  <si>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</si>
  <si>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</si>
  <si>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</si>
  <si>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</si>
  <si>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</si>
  <si>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</si>
  <si>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</si>
  <si>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</si>
  <si>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</si>
  <si>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</si>
  <si>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</si>
  <si>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</si>
  <si>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</si>
  <si>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</si>
  <si>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</si>
  <si>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</si>
  <si>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</si>
  <si>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</si>
  <si>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</si>
  <si>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</si>
  <si>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</si>
  <si>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</si>
  <si>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</si>
  <si>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</si>
  <si>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</si>
  <si>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</si>
  <si>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</si>
  <si>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</si>
  <si>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</si>
  <si>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</si>
  <si>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</si>
  <si>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</si>
  <si>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</si>
  <si>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</si>
  <si>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</si>
  <si>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</si>
  <si>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</si>
  <si>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</si>
  <si>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</si>
  <si>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</si>
  <si>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</si>
  <si>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</si>
  <si>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</si>
  <si>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</si>
  <si>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</si>
  <si>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</si>
  <si>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</si>
  <si>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</si>
  <si>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</si>
  <si>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</si>
  <si>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</si>
  <si>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</si>
  <si>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</si>
  <si>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</si>
  <si>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</si>
  <si>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</si>
  <si>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</si>
  <si>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</si>
  <si>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</si>
  <si>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</si>
  <si>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</si>
  <si>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</si>
  <si>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</si>
  <si>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</si>
  <si>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</si>
  <si>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</si>
  <si>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</si>
  <si>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</si>
  <si>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</si>
  <si>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</si>
  <si>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</si>
  <si>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</si>
  <si>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</si>
  <si>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</si>
  <si>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</si>
  <si>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</si>
  <si>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</si>
  <si>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</si>
  <si>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</si>
  <si>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</si>
  <si>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</si>
  <si>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</si>
  <si>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</si>
  <si>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</si>
  <si>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</si>
  <si>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</si>
  <si>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</si>
  <si>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</si>
  <si>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</si>
  <si>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</si>
  <si>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</si>
  <si>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</si>
  <si>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</si>
  <si>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</si>
  <si>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</si>
  <si>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</si>
  <si>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</si>
  <si>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</si>
  <si>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</si>
  <si>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</si>
  <si>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</si>
  <si>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</si>
  <si>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</si>
  <si>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</si>
  <si>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</si>
  <si>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</si>
  <si>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</si>
  <si>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</si>
  <si>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</si>
  <si>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</si>
  <si>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</si>
  <si>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</si>
  <si>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</si>
  <si>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</si>
  <si>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</si>
  <si>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</si>
  <si>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</si>
  <si>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</si>
  <si>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</si>
  <si>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</si>
  <si>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</si>
  <si>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</si>
  <si>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</si>
  <si>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</si>
  <si>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</si>
  <si>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</si>
  <si>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</si>
  <si>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</si>
  <si>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</si>
  <si>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</si>
  <si>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</si>
  <si>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</si>
  <si>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</si>
  <si>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</si>
  <si>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</si>
  <si>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</si>
  <si>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</si>
  <si>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</si>
  <si>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</si>
  <si>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</si>
  <si>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</si>
  <si>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</si>
  <si>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</si>
  <si>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</si>
  <si>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</si>
  <si>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</si>
  <si>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</si>
  <si>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</si>
  <si>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</si>
  <si>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</si>
  <si>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</si>
  <si>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</si>
  <si>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</si>
  <si>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</si>
  <si>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</si>
  <si>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</si>
  <si>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</si>
  <si>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</si>
  <si>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</si>
  <si>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</si>
  <si>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</si>
  <si>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</si>
  <si>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</si>
  <si>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</si>
  <si>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</si>
  <si>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</si>
  <si>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</si>
  <si>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</si>
  <si>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</si>
  <si>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</si>
  <si>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</si>
  <si>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</si>
  <si>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</si>
  <si>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</si>
  <si>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</si>
  <si>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</si>
  <si>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</si>
  <si>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</si>
  <si>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</si>
  <si>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</si>
  <si>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</si>
  <si>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</si>
  <si>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</si>
  <si>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</si>
  <si>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</si>
  <si>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</si>
  <si>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</si>
  <si>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</si>
  <si>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</si>
  <si>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</si>
  <si>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</si>
  <si>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</si>
  <si>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</si>
  <si>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</si>
  <si>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</si>
  <si>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</si>
  <si>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</si>
  <si>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</si>
  <si>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</si>
  <si>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</si>
  <si>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</si>
  <si>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</si>
  <si>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</si>
  <si>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</si>
  <si>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</si>
  <si>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</si>
  <si>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</si>
  <si>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</si>
  <si>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</si>
  <si>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</si>
  <si>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</si>
  <si>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</si>
  <si>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</si>
  <si>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</si>
  <si>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</si>
  <si>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</si>
  <si>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</si>
  <si>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</si>
  <si>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</si>
  <si>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</si>
  <si>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</si>
  <si>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</si>
  <si>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</si>
  <si>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</si>
  <si>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</si>
  <si>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</si>
  <si>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</si>
  <si>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</si>
  <si>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</si>
  <si>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</si>
  <si>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</si>
  <si>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</si>
  <si>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</si>
  <si>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</si>
  <si>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</si>
  <si>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</si>
  <si>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</si>
  <si>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</si>
  <si>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</si>
  <si>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</si>
  <si>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</si>
  <si>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</si>
  <si>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</si>
  <si>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</si>
  <si>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</si>
  <si>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</si>
  <si>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</si>
  <si>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</si>
  <si>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</si>
  <si>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</si>
  <si>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</si>
  <si>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</si>
  <si>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</si>
  <si>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</si>
  <si>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</si>
  <si>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</si>
  <si>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</si>
  <si>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</si>
  <si>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</si>
  <si>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</si>
  <si>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</si>
  <si>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</si>
  <si>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</si>
  <si>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</si>
  <si>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</si>
  <si>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</si>
  <si>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</si>
  <si>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</si>
  <si>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</si>
  <si>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</si>
  <si>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</si>
  <si>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</si>
  <si>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</si>
  <si>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</si>
  <si>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</si>
  <si>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</si>
  <si>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</si>
  <si>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</si>
  <si>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</si>
  <si>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</si>
  <si>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</si>
  <si>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</si>
  <si>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</si>
  <si>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</si>
  <si>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</si>
  <si>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</si>
  <si>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</si>
  <si>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</si>
  <si>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</si>
  <si>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</si>
  <si>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</si>
  <si>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</si>
  <si>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</si>
  <si>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</si>
  <si>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</si>
  <si>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</si>
  <si>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</si>
  <si>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</si>
  <si>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</si>
  <si>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</si>
  <si>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</si>
  <si>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</si>
  <si>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</si>
  <si>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</si>
  <si>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</si>
  <si>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</si>
  <si>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</si>
  <si>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</si>
  <si>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</si>
  <si>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</si>
  <si>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</si>
  <si>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</si>
  <si>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</si>
  <si>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</si>
  <si>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</si>
  <si>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</si>
  <si>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</si>
  <si>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</si>
  <si>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</si>
  <si>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</si>
  <si>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</si>
  <si>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</si>
  <si>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</si>
  <si>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</si>
  <si>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</si>
  <si>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</si>
  <si>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</si>
  <si>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</si>
  <si>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</si>
  <si>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</si>
  <si>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</si>
  <si>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</si>
  <si>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</si>
  <si>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</si>
  <si>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</si>
  <si>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</si>
  <si>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</si>
  <si>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</si>
  <si>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</si>
  <si>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</si>
  <si>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</si>
  <si>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</si>
  <si>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</si>
  <si>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</si>
  <si>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</si>
  <si>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</si>
  <si>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</si>
  <si>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</si>
  <si>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</si>
  <si>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</si>
  <si>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</si>
  <si>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</si>
  <si>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</si>
  <si>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</si>
  <si>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</si>
  <si>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</si>
  <si>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</si>
  <si>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</si>
  <si>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</si>
  <si>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</si>
  <si>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</si>
  <si>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</si>
  <si>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</si>
  <si>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</si>
  <si>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</si>
  <si>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</si>
  <si>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</si>
  <si>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</si>
  <si>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</si>
  <si>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</si>
  <si>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</si>
  <si>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</si>
  <si>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</si>
  <si>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</si>
  <si>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</si>
  <si>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</si>
  <si>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</si>
  <si>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</si>
  <si>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</si>
  <si>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</si>
  <si>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</si>
  <si>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</si>
  <si>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</si>
  <si>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</si>
  <si>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</si>
  <si>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</si>
  <si>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</si>
  <si>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</si>
  <si>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</si>
  <si>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</si>
  <si>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</si>
  <si>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</si>
  <si>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</si>
  <si>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</si>
  <si>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</si>
  <si>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</si>
  <si>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</si>
  <si>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</si>
  <si>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</si>
  <si>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</si>
  <si>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</si>
  <si>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</si>
  <si>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</si>
  <si>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</si>
  <si>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</si>
  <si>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</si>
  <si>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</si>
  <si>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</si>
  <si>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</si>
  <si>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</si>
  <si>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</si>
  <si>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</si>
  <si>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</si>
  <si>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</si>
  <si>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</si>
  <si>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</si>
  <si>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</si>
  <si>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</si>
  <si>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</si>
  <si>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</si>
  <si>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</si>
  <si>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</si>
  <si>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</si>
  <si>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</si>
  <si>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</si>
  <si>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</si>
  <si>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</si>
  <si>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</si>
  <si>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</si>
  <si>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</si>
  <si>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</si>
  <si>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</si>
  <si>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</si>
  <si>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</si>
  <si>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</si>
  <si>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</si>
  <si>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</si>
  <si>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</si>
  <si>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</si>
  <si>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</si>
  <si>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</si>
  <si>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</si>
  <si>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</si>
  <si>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</si>
  <si>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</si>
  <si>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</si>
  <si>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</si>
  <si>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</si>
  <si>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</si>
  <si>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</si>
  <si>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</si>
  <si>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</si>
  <si>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</si>
  <si>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</si>
  <si>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</si>
  <si>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</si>
  <si>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</si>
  <si>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</si>
  <si>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</si>
  <si>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</si>
  <si>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</si>
  <si>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</si>
  <si>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</si>
  <si>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</si>
  <si>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</si>
  <si>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</si>
  <si>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</si>
  <si>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</si>
  <si>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</si>
  <si>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</si>
  <si>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</si>
  <si>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</si>
  <si>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</si>
  <si>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</si>
  <si>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</si>
  <si>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</si>
  <si>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</si>
  <si>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</si>
  <si>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</si>
  <si>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</si>
  <si>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</si>
  <si>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</si>
  <si>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</si>
  <si>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</si>
  <si>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</si>
  <si>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</si>
  <si>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</si>
  <si>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</si>
  <si>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</si>
  <si>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</si>
  <si>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</si>
  <si>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</si>
  <si>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</si>
  <si>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</si>
  <si>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</si>
  <si>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</si>
  <si>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</si>
  <si>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</si>
  <si>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</si>
  <si>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</si>
  <si>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</si>
  <si>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</si>
  <si>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</si>
  <si>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</si>
  <si>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</si>
  <si>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</si>
  <si>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</si>
  <si>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</si>
  <si>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</si>
  <si>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</si>
  <si>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</si>
  <si>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</si>
  <si>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</si>
  <si>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</si>
  <si>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</si>
  <si>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</si>
  <si>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</si>
  <si>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</si>
  <si>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</si>
  <si>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</si>
  <si>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</si>
  <si>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</si>
  <si>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</si>
  <si>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</si>
  <si>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</si>
  <si>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</si>
  <si>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</si>
  <si>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</si>
  <si>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</si>
  <si>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</si>
  <si>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</si>
  <si>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</si>
  <si>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</si>
  <si>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</si>
  <si>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</si>
  <si>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</si>
  <si>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</si>
  <si>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</si>
  <si>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</si>
  <si>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</si>
  <si>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</si>
  <si>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</si>
  <si>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</si>
  <si>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</si>
  <si>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</si>
  <si>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</si>
  <si>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</si>
  <si>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</si>
  <si>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</si>
  <si>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</si>
  <si>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</si>
  <si>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</si>
  <si>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</si>
  <si>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</si>
  <si>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</si>
  <si>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</si>
  <si>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</si>
  <si>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</si>
  <si>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</si>
  <si>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</si>
  <si>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</si>
  <si>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</si>
  <si>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</si>
  <si>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</si>
  <si>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</si>
  <si>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</si>
  <si>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</si>
  <si>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</si>
  <si>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</si>
  <si>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</si>
  <si>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</si>
  <si>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</si>
  <si>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</si>
  <si>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</si>
  <si>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</si>
  <si>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</si>
  <si>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</si>
  <si>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</si>
  <si>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</si>
  <si>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</si>
  <si>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</si>
  <si>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</si>
  <si>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</si>
  <si>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</si>
  <si>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</si>
  <si>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</si>
  <si>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</si>
  <si>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</si>
  <si>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</si>
  <si>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</si>
  <si>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</si>
  <si>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</si>
  <si>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</si>
  <si>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</si>
  <si>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</si>
  <si>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</si>
  <si>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</si>
  <si>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</si>
  <si>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</si>
  <si>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</si>
  <si>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</si>
  <si>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</si>
  <si>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</si>
  <si>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</si>
  <si>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</si>
  <si>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</si>
  <si>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</si>
  <si>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</si>
  <si>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</si>
  <si>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</si>
  <si>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</si>
  <si>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</si>
  <si>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</si>
  <si>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</si>
  <si>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</si>
  <si>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</si>
  <si>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</si>
  <si>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</si>
  <si>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</si>
  <si>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</si>
  <si>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</si>
  <si>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</si>
  <si>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</si>
  <si>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</si>
  <si>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</si>
  <si>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</si>
  <si>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</si>
  <si>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</si>
  <si>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</si>
  <si>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</si>
  <si>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</si>
  <si>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</si>
  <si>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</si>
  <si>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</si>
  <si>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</si>
  <si>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</si>
  <si>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</si>
  <si>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</si>
  <si>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</si>
  <si>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</si>
  <si>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</si>
  <si>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</si>
  <si>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</si>
  <si>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</si>
  <si>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</si>
  <si>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</si>
  <si>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</si>
  <si>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</si>
  <si>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</si>
  <si>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</si>
  <si>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</si>
  <si>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</si>
  <si>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</si>
  <si>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</si>
  <si>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</si>
  <si>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</si>
  <si>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</si>
  <si>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</si>
  <si>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</si>
  <si>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</si>
  <si>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</si>
  <si>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</si>
  <si>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</si>
  <si>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</si>
  <si>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</si>
  <si>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</si>
  <si>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</si>
  <si>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</si>
  <si>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</si>
  <si>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</si>
  <si>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</si>
  <si>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</si>
  <si>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</si>
  <si>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</si>
  <si>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</si>
  <si>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</si>
  <si>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</si>
  <si>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</si>
  <si>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</si>
  <si>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</si>
  <si>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</si>
  <si>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</si>
  <si>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</si>
  <si>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</si>
  <si>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</si>
  <si>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</si>
  <si>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</si>
  <si>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</si>
  <si>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</si>
  <si>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</si>
  <si>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</si>
  <si>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</si>
  <si>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</si>
  <si>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</si>
  <si>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</si>
  <si>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</si>
  <si>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</si>
  <si>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</si>
  <si>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</si>
  <si>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</si>
  <si>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</si>
  <si>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</si>
  <si>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</si>
  <si>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</si>
  <si>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</si>
  <si>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</si>
  <si>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</si>
  <si>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</si>
  <si>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</si>
  <si>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</si>
  <si>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</si>
  <si>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</si>
  <si>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</si>
  <si>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</si>
  <si>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</si>
  <si>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</si>
  <si>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</si>
  <si>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</si>
  <si>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</si>
  <si>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</si>
  <si>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</si>
  <si>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</si>
  <si>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</si>
  <si>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</si>
  <si>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</si>
  <si>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</si>
  <si>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</si>
  <si>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</si>
  <si>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</si>
  <si>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</si>
  <si>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</si>
  <si>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</si>
  <si>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</si>
  <si>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</si>
  <si>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</si>
  <si>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</si>
  <si>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</si>
  <si>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</si>
  <si>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</si>
  <si>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</si>
  <si>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</si>
  <si>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</si>
  <si>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</si>
  <si>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</si>
  <si>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</si>
  <si>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</si>
  <si>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</si>
  <si>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</si>
  <si>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</si>
  <si>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</si>
  <si>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</si>
  <si>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</si>
  <si>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</si>
  <si>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</si>
  <si>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</si>
  <si>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</si>
  <si>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</si>
  <si>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</si>
  <si>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</si>
  <si>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</si>
  <si>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</si>
  <si>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</si>
  <si>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</si>
  <si>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</si>
  <si>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</si>
  <si>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</si>
  <si>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</si>
  <si>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</si>
  <si>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</si>
  <si>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</si>
  <si>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</si>
  <si>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</si>
  <si>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</si>
  <si>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</si>
  <si>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</si>
  <si>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</si>
  <si>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</si>
  <si>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</si>
  <si>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</si>
  <si>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</si>
  <si>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</si>
  <si>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</si>
  <si>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</si>
  <si>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</si>
  <si>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</si>
  <si>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</si>
  <si>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</si>
  <si>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</si>
  <si>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</si>
  <si>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</si>
  <si>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</si>
  <si>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</si>
  <si>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</si>
  <si>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</si>
  <si>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</si>
  <si>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</si>
  <si>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</si>
  <si>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</si>
  <si>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</si>
  <si>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</si>
  <si>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</si>
  <si>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</si>
  <si>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</si>
  <si>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</si>
  <si>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</si>
  <si>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</si>
  <si>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</si>
  <si>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</si>
  <si>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</si>
  <si>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</si>
  <si>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</si>
  <si>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</si>
  <si>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</si>
  <si>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</si>
  <si>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</si>
  <si>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</si>
  <si>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</si>
  <si>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</si>
  <si>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</si>
  <si>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</si>
  <si>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</si>
  <si>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</si>
  <si>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</si>
  <si>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</si>
  <si>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</si>
  <si>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</si>
  <si>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</si>
  <si>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</si>
  <si>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</si>
  <si>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</si>
  <si>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</si>
  <si>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</si>
  <si>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</si>
  <si>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</si>
  <si>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</si>
  <si>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</si>
  <si>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</si>
  <si>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</si>
  <si>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</si>
  <si>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</si>
  <si>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</si>
  <si>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</si>
  <si>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</si>
  <si>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</si>
  <si>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</si>
  <si>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</si>
  <si>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</si>
  <si>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</si>
  <si>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</si>
  <si>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</si>
  <si>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</si>
  <si>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</si>
  <si>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</si>
  <si>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</si>
  <si>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</si>
  <si>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</si>
  <si>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</si>
  <si>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</si>
  <si>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</si>
  <si>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</si>
  <si>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</si>
  <si>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</si>
  <si>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</si>
  <si>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</si>
  <si>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</si>
  <si>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</si>
  <si>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</si>
  <si>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</si>
  <si>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</si>
  <si>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</si>
  <si>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</si>
  <si>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</si>
  <si>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</si>
  <si>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</si>
  <si>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</si>
  <si>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</si>
  <si>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</si>
  <si>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</si>
  <si>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</si>
  <si>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</si>
  <si>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</si>
  <si>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</si>
  <si>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</si>
  <si>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</si>
  <si>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</si>
  <si>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</si>
  <si>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</si>
  <si>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</si>
  <si>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</si>
  <si>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</si>
  <si>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</si>
  <si>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</si>
  <si>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</si>
  <si>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</si>
  <si>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</si>
  <si>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</si>
  <si>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</si>
  <si>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</si>
  <si>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</si>
  <si>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</si>
  <si>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</si>
  <si>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</si>
  <si>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</si>
  <si>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</si>
  <si>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</si>
  <si>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</si>
  <si>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</si>
  <si>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</si>
  <si>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</si>
  <si>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</si>
  <si>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</si>
  <si>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</si>
  <si>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</si>
  <si>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</si>
  <si>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</si>
  <si>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</si>
  <si>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</si>
  <si>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</si>
  <si>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</si>
  <si>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</si>
  <si>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</si>
  <si>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</si>
  <si>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</si>
  <si>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</si>
  <si>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</si>
  <si>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</si>
  <si>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</si>
  <si>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</si>
  <si>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</si>
  <si>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</si>
  <si>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</si>
  <si>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</si>
  <si>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</si>
  <si>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</si>
  <si>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</si>
  <si>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</si>
  <si>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</si>
  <si>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</si>
  <si>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</si>
  <si>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</si>
  <si>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</si>
  <si>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</si>
  <si>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</si>
  <si>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</si>
  <si>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</si>
  <si>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</si>
  <si>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</si>
  <si>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</si>
  <si>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</si>
  <si>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</si>
  <si>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</si>
  <si>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</si>
  <si>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</si>
  <si>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</si>
  <si>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</si>
  <si>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</si>
  <si>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</si>
  <si>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</si>
  <si>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</si>
  <si>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</si>
  <si>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</si>
  <si>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</si>
  <si>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</si>
  <si>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</si>
  <si>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</si>
  <si>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</si>
  <si>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</si>
  <si>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</si>
  <si>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</si>
  <si>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</si>
  <si>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</si>
  <si>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</si>
  <si>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</si>
  <si>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</si>
  <si>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</si>
  <si>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</si>
  <si>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</si>
  <si>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IVKOM D.D.</t>
  </si>
  <si>
    <t>31407797858</t>
  </si>
  <si>
    <t>03136906</t>
  </si>
  <si>
    <t>070000553</t>
  </si>
  <si>
    <t>IVANEC</t>
  </si>
  <si>
    <t>V. Nazora 96 B</t>
  </si>
  <si>
    <t>ivkom@ivkom.hr</t>
  </si>
  <si>
    <t>www.ivkom.hr</t>
  </si>
  <si>
    <t>042/770-550</t>
  </si>
  <si>
    <t>Brankica Kušen</t>
  </si>
  <si>
    <t>042770573</t>
  </si>
  <si>
    <t>brankica@ivkom.hr</t>
  </si>
  <si>
    <t>Rajh Edo</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</si>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</sst>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930579.3800000001</v>
      </c>
      <c r="I3" s="27">
        <f>ABS(ROUND(J3,0)-J3)+ABS(ROUND(K3,0)-K3)</f>
        <v>0</v>
      </c>
      <c r="J3" s="27">
        <f>Bilanca!I10</f>
        <v>16350973</v>
      </c>
      <c r="K3" s="27">
        <f>Bilanca!J10</f>
        <v>15088998</v>
      </c>
    </row>
    <row r="4" spans="1:11" ht="12.75">
      <c r="A4" s="4" t="s">
        <v>2697</v>
      </c>
      <c r="B4" s="25" t="s">
        <v>364</v>
      </c>
      <c r="D4" s="4" t="s">
        <v>554</v>
      </c>
      <c r="E4" s="4">
        <v>1</v>
      </c>
      <c r="F4" s="4">
        <f>Bilanca!G11</f>
        <v>3</v>
      </c>
      <c r="G4" s="4">
        <f>IF(Bilanca!H11=0,"",Bilanca!H11)</f>
      </c>
      <c r="H4" s="26">
        <f>J4/100*F4+2*K4/100*F4</f>
        <v>53801.61</v>
      </c>
      <c r="I4" s="27">
        <f>ABS(ROUND(J4,0)-J4)+ABS(ROUND(K4,0)-K4)</f>
        <v>0</v>
      </c>
      <c r="J4" s="27">
        <f>Bilanca!I11</f>
        <v>645081</v>
      </c>
      <c r="K4" s="27">
        <f>Bilanca!J11</f>
        <v>574153</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03136906</v>
      </c>
      <c r="D6" s="4" t="s">
        <v>554</v>
      </c>
      <c r="E6" s="4">
        <v>1</v>
      </c>
      <c r="F6" s="4">
        <f>Bilanca!G13</f>
        <v>5</v>
      </c>
      <c r="G6" s="4">
        <f>IF(Bilanca!H13=0,"",Bilanca!H13)</f>
      </c>
      <c r="H6" s="26">
        <f aca="true" t="shared" si="0" ref="H6:H45">J6/100*F6+2*K6/100*F6</f>
        <v>3444.5499999999997</v>
      </c>
      <c r="I6" s="27">
        <f aca="true" t="shared" si="1" ref="I6:I45">ABS(ROUND(J6,0)-J6)+ABS(ROUND(K6,0)-K6)</f>
        <v>0</v>
      </c>
      <c r="J6" s="27">
        <f>Bilanca!I13</f>
        <v>1917</v>
      </c>
      <c r="K6" s="27">
        <f>Bilanca!J13</f>
        <v>33487</v>
      </c>
    </row>
    <row r="7" spans="1:11" ht="12.75">
      <c r="A7" s="4" t="s">
        <v>1561</v>
      </c>
      <c r="B7" s="25" t="str">
        <f>RefStr!M27</f>
        <v>070000553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31407797858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 D.D.</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155204.64</v>
      </c>
      <c r="I10" s="27">
        <f t="shared" si="1"/>
        <v>0</v>
      </c>
      <c r="J10" s="27">
        <f>Bilanca!I17</f>
        <v>643164</v>
      </c>
      <c r="K10" s="27">
        <f>Bilanca!J17</f>
        <v>540666</v>
      </c>
    </row>
    <row r="11" spans="1:11" ht="12.75">
      <c r="A11" s="4" t="s">
        <v>2737</v>
      </c>
      <c r="B11" s="25" t="str">
        <f>TRIM(RefStr!F31)</f>
        <v>IVANEC</v>
      </c>
      <c r="D11" s="4" t="s">
        <v>554</v>
      </c>
      <c r="E11" s="4">
        <v>1</v>
      </c>
      <c r="F11" s="4">
        <f>Bilanca!G18</f>
        <v>10</v>
      </c>
      <c r="G11" s="4">
        <f>IF(Bilanca!H18=0,"",Bilanca!H18)</f>
      </c>
      <c r="H11" s="26">
        <f t="shared" si="0"/>
        <v>3785995.4</v>
      </c>
      <c r="I11" s="27">
        <f t="shared" si="1"/>
        <v>0</v>
      </c>
      <c r="J11" s="27">
        <f>Bilanca!I18</f>
        <v>13414016</v>
      </c>
      <c r="K11" s="27">
        <f>Bilanca!J18</f>
        <v>12222969</v>
      </c>
    </row>
    <row r="12" spans="1:11" ht="12.75">
      <c r="A12" s="4" t="s">
        <v>2738</v>
      </c>
      <c r="B12" s="25" t="str">
        <f>TRIM(RefStr!C33)</f>
        <v>V. Nazora 96 B</v>
      </c>
      <c r="D12" s="4" t="s">
        <v>554</v>
      </c>
      <c r="E12" s="4">
        <v>1</v>
      </c>
      <c r="F12" s="4">
        <f>Bilanca!G19</f>
        <v>11</v>
      </c>
      <c r="G12" s="4">
        <f>IF(Bilanca!H19=0,"",Bilanca!H19)</f>
      </c>
      <c r="H12" s="26">
        <f t="shared" si="0"/>
        <v>5848.26</v>
      </c>
      <c r="I12" s="27">
        <f t="shared" si="1"/>
        <v>0</v>
      </c>
      <c r="J12" s="27">
        <f>Bilanca!I19</f>
        <v>17722</v>
      </c>
      <c r="K12" s="27">
        <f>Bilanca!J19</f>
        <v>17722</v>
      </c>
    </row>
    <row r="13" spans="1:11" ht="12.75">
      <c r="A13" s="4" t="s">
        <v>2884</v>
      </c>
      <c r="B13" s="25" t="str">
        <f>TRIM(RefStr!C35)</f>
        <v>ivkom@ivkom.hr</v>
      </c>
      <c r="D13" s="4" t="s">
        <v>554</v>
      </c>
      <c r="E13" s="4">
        <v>1</v>
      </c>
      <c r="F13" s="4">
        <f>Bilanca!G20</f>
        <v>12</v>
      </c>
      <c r="G13" s="4">
        <f>IF(Bilanca!H20=0,"",Bilanca!H20)</f>
      </c>
      <c r="H13" s="26">
        <f t="shared" si="0"/>
        <v>2942402.7600000002</v>
      </c>
      <c r="I13" s="27">
        <f t="shared" si="1"/>
        <v>0</v>
      </c>
      <c r="J13" s="27">
        <f>Bilanca!I20</f>
        <v>8782897</v>
      </c>
      <c r="K13" s="27">
        <f>Bilanca!J20</f>
        <v>7868563</v>
      </c>
    </row>
    <row r="14" spans="1:11" ht="12.75">
      <c r="A14" s="4" t="s">
        <v>2885</v>
      </c>
      <c r="B14" s="25" t="str">
        <f>TRIM(RefStr!C37)</f>
        <v>www.ivkom.hr</v>
      </c>
      <c r="D14" s="4" t="s">
        <v>554</v>
      </c>
      <c r="E14" s="4">
        <v>1</v>
      </c>
      <c r="F14" s="4">
        <f>Bilanca!G21</f>
        <v>13</v>
      </c>
      <c r="G14" s="4">
        <f>IF(Bilanca!H21=0,"",Bilanca!H21)</f>
      </c>
      <c r="H14" s="26">
        <f t="shared" si="0"/>
        <v>149532.76</v>
      </c>
      <c r="I14" s="27">
        <f t="shared" si="1"/>
        <v>0</v>
      </c>
      <c r="J14" s="27">
        <f>Bilanca!I21</f>
        <v>401318</v>
      </c>
      <c r="K14" s="27">
        <f>Bilanca!J21</f>
        <v>374467</v>
      </c>
    </row>
    <row r="15" spans="1:11" ht="12.75">
      <c r="A15" s="4" t="s">
        <v>2741</v>
      </c>
      <c r="B15" s="25" t="str">
        <f>TEXT(RefStr!J39,"00")</f>
        <v>05</v>
      </c>
      <c r="D15" s="4" t="s">
        <v>554</v>
      </c>
      <c r="E15" s="4">
        <v>1</v>
      </c>
      <c r="F15" s="4">
        <f>Bilanca!G22</f>
        <v>14</v>
      </c>
      <c r="G15" s="4">
        <f>IF(Bilanca!H22=0,"",Bilanca!H22)</f>
      </c>
      <c r="H15" s="26">
        <f t="shared" si="0"/>
        <v>1260027.44</v>
      </c>
      <c r="I15" s="27">
        <f t="shared" si="1"/>
        <v>0</v>
      </c>
      <c r="J15" s="27">
        <f>Bilanca!I22</f>
        <v>3248264</v>
      </c>
      <c r="K15" s="27">
        <f>Bilanca!J22</f>
        <v>2875966</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533173.89</v>
      </c>
      <c r="I18" s="27">
        <f t="shared" si="1"/>
        <v>0</v>
      </c>
      <c r="J18" s="27">
        <f>Bilanca!I25</f>
        <v>963815</v>
      </c>
      <c r="K18" s="27">
        <f>Bilanca!J25</f>
        <v>1086251</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1375125.5999999999</v>
      </c>
      <c r="I21" s="27">
        <f t="shared" si="1"/>
        <v>0</v>
      </c>
      <c r="J21" s="27">
        <f>Bilanca!I28</f>
        <v>2291876</v>
      </c>
      <c r="K21" s="27">
        <f>Bilanca!J28</f>
        <v>2291876</v>
      </c>
    </row>
    <row r="22" spans="1:11" ht="12.75">
      <c r="A22" s="4" t="s">
        <v>2890</v>
      </c>
      <c r="B22" s="25">
        <f>RefStr!C52</f>
        <v>11</v>
      </c>
      <c r="D22" s="4" t="s">
        <v>554</v>
      </c>
      <c r="E22" s="4">
        <v>1</v>
      </c>
      <c r="F22" s="4">
        <f>Bilanca!G29</f>
        <v>21</v>
      </c>
      <c r="G22" s="4">
        <f>IF(Bilanca!H29=0,"",Bilanca!H29)</f>
      </c>
      <c r="H22" s="26">
        <f t="shared" si="0"/>
        <v>1443881.88</v>
      </c>
      <c r="I22" s="27">
        <f t="shared" si="1"/>
        <v>0</v>
      </c>
      <c r="J22" s="27">
        <f>Bilanca!I29</f>
        <v>2291876</v>
      </c>
      <c r="K22" s="27">
        <f>Bilanca!J29</f>
        <v>2291876</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91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77</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80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10747180.21</v>
      </c>
      <c r="I38" s="27">
        <f t="shared" si="1"/>
        <v>0</v>
      </c>
      <c r="J38" s="27">
        <f>Bilanca!I45</f>
        <v>10008789</v>
      </c>
      <c r="K38" s="27">
        <f>Bilanca!J45</f>
        <v>9518822</v>
      </c>
    </row>
    <row r="39" spans="1:11" ht="12.75">
      <c r="A39" s="4" t="s">
        <v>1611</v>
      </c>
      <c r="B39" s="25" t="str">
        <f>RefStr!C68</f>
        <v>Brankica Kušen</v>
      </c>
      <c r="D39" s="4" t="s">
        <v>554</v>
      </c>
      <c r="E39" s="4">
        <v>1</v>
      </c>
      <c r="F39" s="4">
        <f>Bilanca!G46</f>
        <v>38</v>
      </c>
      <c r="G39" s="4">
        <f>IF(Bilanca!H46=0,"",Bilanca!H46)</f>
      </c>
      <c r="H39" s="26">
        <f t="shared" si="0"/>
        <v>487374.7</v>
      </c>
      <c r="I39" s="27">
        <f t="shared" si="1"/>
        <v>0</v>
      </c>
      <c r="J39" s="27">
        <f>Bilanca!I46</f>
        <v>348661</v>
      </c>
      <c r="K39" s="27">
        <f>Bilanca!J46</f>
        <v>466952</v>
      </c>
    </row>
    <row r="40" spans="1:11" ht="12.75">
      <c r="A40" s="4" t="s">
        <v>1612</v>
      </c>
      <c r="B40" s="25" t="str">
        <f>TRIM(RefStr!C70)</f>
        <v>042770573</v>
      </c>
      <c r="D40" s="4" t="s">
        <v>554</v>
      </c>
      <c r="E40" s="4">
        <v>1</v>
      </c>
      <c r="F40" s="4">
        <f>Bilanca!G47</f>
        <v>39</v>
      </c>
      <c r="G40" s="4">
        <f>IF(Bilanca!H47=0,"",Bilanca!H47)</f>
      </c>
      <c r="H40" s="26">
        <f t="shared" si="0"/>
        <v>392367.3</v>
      </c>
      <c r="I40" s="27">
        <f t="shared" si="1"/>
        <v>0</v>
      </c>
      <c r="J40" s="27">
        <f>Bilanca!I47</f>
        <v>234938</v>
      </c>
      <c r="K40" s="27">
        <f>Bilanca!J47</f>
        <v>385566</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brankica@ivkom.hr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Rajh Edo</v>
      </c>
      <c r="D43" s="4" t="s">
        <v>554</v>
      </c>
      <c r="E43" s="4">
        <v>1</v>
      </c>
      <c r="F43" s="4">
        <f>Bilanca!G50</f>
        <v>42</v>
      </c>
      <c r="G43" s="4">
        <f>IF(Bilanca!H50=0,"",Bilanca!H50)</f>
      </c>
      <c r="H43" s="26">
        <f t="shared" si="0"/>
        <v>116127.90000000001</v>
      </c>
      <c r="I43" s="27">
        <f t="shared" si="1"/>
        <v>0</v>
      </c>
      <c r="J43" s="27">
        <f>Bilanca!I50</f>
        <v>113723</v>
      </c>
      <c r="K43" s="27">
        <f>Bilanca!J50</f>
        <v>81386</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4756371.4799999995</v>
      </c>
      <c r="I47" s="27">
        <f t="shared" si="3"/>
        <v>0</v>
      </c>
      <c r="J47" s="27">
        <f>Bilanca!I54</f>
        <v>3184126</v>
      </c>
      <c r="K47" s="27">
        <f>Bilanca!J54</f>
        <v>3577906</v>
      </c>
    </row>
    <row r="48" spans="1:11" ht="12.75">
      <c r="A48" s="4" t="s">
        <v>2226</v>
      </c>
      <c r="B48" s="25" t="str">
        <f>RefStr!I54</f>
        <v>DA</v>
      </c>
      <c r="D48" s="4" t="s">
        <v>554</v>
      </c>
      <c r="E48" s="4">
        <v>1</v>
      </c>
      <c r="F48" s="4">
        <f>Bilanca!G55</f>
        <v>47</v>
      </c>
      <c r="G48" s="4">
        <f>IF(Bilanca!H55=0,"",Bilanca!H55)</f>
      </c>
      <c r="H48" s="26">
        <f t="shared" si="2"/>
        <v>79226.48999999999</v>
      </c>
      <c r="I48" s="27">
        <f t="shared" si="3"/>
        <v>0</v>
      </c>
      <c r="J48" s="27">
        <f>Bilanca!I55</f>
        <v>74481</v>
      </c>
      <c r="K48" s="27">
        <f>Bilanca!J55</f>
        <v>47043</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4714647.7</v>
      </c>
      <c r="I50" s="27">
        <f t="shared" si="3"/>
        <v>0</v>
      </c>
      <c r="J50" s="27">
        <f>Bilanca!I57</f>
        <v>2960284</v>
      </c>
      <c r="K50" s="27">
        <f>Bilanca!J57</f>
        <v>3330723</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268880.67</v>
      </c>
      <c r="I52" s="27">
        <f t="shared" si="3"/>
        <v>0</v>
      </c>
      <c r="J52" s="27">
        <f>Bilanca!I59</f>
        <v>147945</v>
      </c>
      <c r="K52" s="27">
        <f>Bilanca!J59</f>
        <v>189636</v>
      </c>
    </row>
    <row r="53" spans="1:11" ht="12.75">
      <c r="A53" s="4" t="s">
        <v>1301</v>
      </c>
      <c r="B53" s="25" t="str">
        <f>RefStr!I56</f>
        <v>NE</v>
      </c>
      <c r="D53" s="4" t="s">
        <v>554</v>
      </c>
      <c r="E53" s="4">
        <v>1</v>
      </c>
      <c r="F53" s="4">
        <f>Bilanca!G60</f>
        <v>52</v>
      </c>
      <c r="G53" s="4">
        <f>IF(Bilanca!H60=0,"",Bilanca!H60)</f>
      </c>
      <c r="H53" s="26">
        <f t="shared" si="2"/>
        <v>11660.48</v>
      </c>
      <c r="I53" s="27">
        <f t="shared" si="3"/>
        <v>0</v>
      </c>
      <c r="J53" s="27">
        <f>Bilanca!I60</f>
        <v>1416</v>
      </c>
      <c r="K53" s="27">
        <f>Bilanca!J60</f>
        <v>10504</v>
      </c>
    </row>
    <row r="54" spans="1:11" ht="12.75">
      <c r="A54" s="4" t="s">
        <v>1302</v>
      </c>
      <c r="B54" s="25" t="str">
        <f>RefStr!I62</f>
        <v>NE</v>
      </c>
      <c r="D54" s="4" t="s">
        <v>554</v>
      </c>
      <c r="E54" s="4">
        <v>1</v>
      </c>
      <c r="F54" s="4">
        <f>Bilanca!G61</f>
        <v>53</v>
      </c>
      <c r="G54" s="4">
        <f>IF(Bilanca!H61=0,"",Bilanca!H61)</f>
      </c>
      <c r="H54" s="26">
        <f t="shared" si="2"/>
        <v>276813.17000000004</v>
      </c>
      <c r="I54" s="27">
        <f t="shared" si="3"/>
        <v>0</v>
      </c>
      <c r="J54" s="27">
        <f>Bilanca!I61</f>
        <v>522289</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2116555846.0400004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318596.29000000004</v>
      </c>
      <c r="I62" s="27">
        <f t="shared" si="3"/>
        <v>0</v>
      </c>
      <c r="J62" s="27">
        <f>Bilanca!I69</f>
        <v>522289</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10648033.83</v>
      </c>
      <c r="I64" s="27">
        <f t="shared" si="3"/>
        <v>0</v>
      </c>
      <c r="J64" s="27">
        <f>Bilanca!I71</f>
        <v>5953713</v>
      </c>
      <c r="K64" s="27">
        <f>Bilanca!J71</f>
        <v>5473964</v>
      </c>
    </row>
    <row r="65" spans="1:11" ht="12.75">
      <c r="A65" s="4" t="s">
        <v>923</v>
      </c>
      <c r="B65" s="25" t="str">
        <f>TRIM(RefStr!N19)</f>
        <v>HSFI</v>
      </c>
      <c r="D65" s="4" t="s">
        <v>554</v>
      </c>
      <c r="E65" s="4">
        <v>1</v>
      </c>
      <c r="F65" s="4">
        <f>Bilanca!G72</f>
        <v>64</v>
      </c>
      <c r="G65" s="4">
        <f>IF(Bilanca!H72=0,"",Bilanca!H72)</f>
      </c>
      <c r="H65" s="26">
        <f t="shared" si="2"/>
        <v>257822.71999999997</v>
      </c>
      <c r="I65" s="27">
        <f t="shared" si="3"/>
        <v>0</v>
      </c>
      <c r="J65" s="27">
        <f>Bilanca!I72</f>
        <v>31178</v>
      </c>
      <c r="K65" s="27">
        <f>Bilanca!J72</f>
        <v>185835</v>
      </c>
    </row>
    <row r="66" spans="1:11" ht="12.75">
      <c r="A66" s="4" t="s">
        <v>924</v>
      </c>
      <c r="B66" s="25">
        <f>RefStr!C23</f>
        <v>1</v>
      </c>
      <c r="D66" s="4" t="s">
        <v>554</v>
      </c>
      <c r="E66" s="4">
        <v>1</v>
      </c>
      <c r="F66" s="4">
        <f>Bilanca!G73</f>
        <v>65</v>
      </c>
      <c r="G66" s="4">
        <f>IF(Bilanca!H73=0,"",Bilanca!H73)</f>
      </c>
      <c r="H66" s="26">
        <f t="shared" si="2"/>
        <v>49385862.5</v>
      </c>
      <c r="I66" s="27">
        <f t="shared" si="3"/>
        <v>0</v>
      </c>
      <c r="J66" s="27">
        <f>Bilanca!I73</f>
        <v>26390940</v>
      </c>
      <c r="K66" s="27">
        <f>Bilanca!J73</f>
        <v>24793655</v>
      </c>
    </row>
    <row r="67" spans="1:11" ht="12.75">
      <c r="A67" s="4" t="s">
        <v>925</v>
      </c>
      <c r="B67" s="25" t="str">
        <f>TRIM(RefStr!L35)</f>
        <v>042/770-550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7</v>
      </c>
      <c r="D68" s="4" t="s">
        <v>554</v>
      </c>
      <c r="E68" s="4">
        <v>1</v>
      </c>
      <c r="F68" s="4">
        <f>Bilanca!G76</f>
        <v>67</v>
      </c>
      <c r="G68" s="4">
        <f>IF(Bilanca!H76=0,"",Bilanca!H76)</f>
      </c>
      <c r="H68" s="26">
        <f t="shared" si="2"/>
        <v>28951116.07</v>
      </c>
      <c r="I68" s="27">
        <f t="shared" si="3"/>
        <v>0</v>
      </c>
      <c r="J68" s="27">
        <f>Bilanca!I76</f>
        <v>14337293</v>
      </c>
      <c r="K68" s="27">
        <f>Bilanca!J76</f>
        <v>14436664</v>
      </c>
    </row>
    <row r="69" spans="1:11" ht="12.75">
      <c r="A69" s="4" t="s">
        <v>927</v>
      </c>
      <c r="B69" s="25">
        <f>TRIM(RefStr!M46)</f>
      </c>
      <c r="D69" s="4" t="s">
        <v>554</v>
      </c>
      <c r="E69" s="4">
        <v>1</v>
      </c>
      <c r="F69" s="4">
        <f>Bilanca!G77</f>
        <v>68</v>
      </c>
      <c r="G69" s="4">
        <f>IF(Bilanca!H77=0,"",Bilanca!H77)</f>
      </c>
      <c r="H69" s="26">
        <f t="shared" si="2"/>
        <v>21446132.400000002</v>
      </c>
      <c r="I69" s="27">
        <f t="shared" si="3"/>
        <v>0</v>
      </c>
      <c r="J69" s="27">
        <f>Bilanca!I77</f>
        <v>10512810</v>
      </c>
      <c r="K69" s="27">
        <f>Bilanca!J77</f>
        <v>10512810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6230028.7</v>
      </c>
      <c r="I71" s="27">
        <f t="shared" si="3"/>
        <v>0</v>
      </c>
      <c r="J71" s="27">
        <f>Bilanca!I79</f>
        <v>2964363</v>
      </c>
      <c r="K71" s="27">
        <f>Bilanca!J79</f>
        <v>2967839</v>
      </c>
    </row>
    <row r="72" spans="4:11" ht="12.75">
      <c r="D72" s="4" t="s">
        <v>554</v>
      </c>
      <c r="E72" s="4">
        <v>1</v>
      </c>
      <c r="F72" s="4">
        <f>Bilanca!G80</f>
        <v>71</v>
      </c>
      <c r="G72" s="4">
        <f>IF(Bilanca!H80=0,"",Bilanca!H80)</f>
      </c>
      <c r="H72" s="26">
        <f t="shared" si="2"/>
        <v>150135.89</v>
      </c>
      <c r="I72" s="27">
        <f t="shared" si="3"/>
        <v>0</v>
      </c>
      <c r="J72" s="27">
        <f>Bilanca!I80</f>
        <v>68169</v>
      </c>
      <c r="K72" s="27">
        <f>Bilanca!J80</f>
        <v>71645</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6516436.5</v>
      </c>
      <c r="I76" s="27">
        <f t="shared" si="3"/>
        <v>0</v>
      </c>
      <c r="J76" s="27">
        <f>Bilanca!I84</f>
        <v>2896194</v>
      </c>
      <c r="K76" s="27">
        <f>Bilanca!J84</f>
        <v>2896194</v>
      </c>
    </row>
    <row r="77" spans="4:11" ht="12.75">
      <c r="D77" s="4" t="s">
        <v>554</v>
      </c>
      <c r="E77" s="4">
        <v>1</v>
      </c>
      <c r="F77" s="4">
        <f>Bilanca!G85</f>
        <v>76</v>
      </c>
      <c r="G77" s="4">
        <f>IF(Bilanca!H85=0,"",Bilanca!H85)</f>
      </c>
      <c r="H77" s="26">
        <f t="shared" si="2"/>
        <v>794276.76</v>
      </c>
      <c r="I77" s="27">
        <f t="shared" si="3"/>
        <v>0</v>
      </c>
      <c r="J77" s="27">
        <f>Bilanca!I85</f>
        <v>348367</v>
      </c>
      <c r="K77" s="27">
        <f>Bilanca!J85</f>
        <v>348367</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1210784.08</v>
      </c>
      <c r="I84" s="27">
        <f t="shared" si="3"/>
        <v>0</v>
      </c>
      <c r="J84" s="27">
        <f>Bilanca!I92</f>
        <v>442222</v>
      </c>
      <c r="K84" s="27">
        <f>Bilanca!J92</f>
        <v>508277</v>
      </c>
    </row>
    <row r="85" spans="4:11" ht="12.75">
      <c r="D85" s="4" t="s">
        <v>554</v>
      </c>
      <c r="E85" s="4">
        <v>1</v>
      </c>
      <c r="F85" s="4">
        <f>Bilanca!G93</f>
        <v>84</v>
      </c>
      <c r="G85" s="4">
        <f>IF(Bilanca!H93=0,"",Bilanca!H93)</f>
      </c>
      <c r="H85" s="26">
        <f t="shared" si="2"/>
        <v>1225371.84</v>
      </c>
      <c r="I85" s="27">
        <f t="shared" si="3"/>
        <v>0</v>
      </c>
      <c r="J85" s="27">
        <f>Bilanca!I93</f>
        <v>442222</v>
      </c>
      <c r="K85" s="27">
        <f>Bilanca!J93</f>
        <v>508277</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230714.78</v>
      </c>
      <c r="I87" s="27">
        <f>ABS(ROUND(J87,0)-J87)+ABS(ROUND(K87,0)-K87)</f>
        <v>0</v>
      </c>
      <c r="J87" s="27">
        <f>Bilanca!I95</f>
        <v>69531</v>
      </c>
      <c r="K87" s="27">
        <f>Bilanca!J95</f>
        <v>99371</v>
      </c>
    </row>
    <row r="88" spans="4:11" ht="12.75">
      <c r="D88" s="4" t="s">
        <v>554</v>
      </c>
      <c r="E88" s="4">
        <v>1</v>
      </c>
      <c r="F88" s="4">
        <f>Bilanca!G96</f>
        <v>87</v>
      </c>
      <c r="G88" s="4">
        <f>IF(Bilanca!H96=0,"",Bilanca!H96)</f>
      </c>
      <c r="H88" s="26">
        <f>J88/100*F88+2*K88/100*F88</f>
        <v>233397.51</v>
      </c>
      <c r="I88" s="27">
        <f>ABS(ROUND(J88,0)-J88)+ABS(ROUND(K88,0)-K88)</f>
        <v>0</v>
      </c>
      <c r="J88" s="27">
        <f>Bilanca!I96</f>
        <v>69531</v>
      </c>
      <c r="K88" s="27">
        <f>Bilanca!J96</f>
        <v>99371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1680076.8</v>
      </c>
      <c r="I91" s="27">
        <f t="shared" si="5"/>
        <v>0</v>
      </c>
      <c r="J91" s="27">
        <f>Bilanca!I99</f>
        <v>520160</v>
      </c>
      <c r="K91" s="27">
        <f>Bilanca!J99</f>
        <v>673296</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1792081.9200000002</v>
      </c>
      <c r="I97" s="27">
        <f t="shared" si="5"/>
        <v>0</v>
      </c>
      <c r="J97" s="27">
        <f>Bilanca!I105</f>
        <v>520160</v>
      </c>
      <c r="K97" s="27">
        <f>Bilanca!J105</f>
        <v>673296</v>
      </c>
    </row>
    <row r="98" spans="4:11" ht="12.75">
      <c r="D98" s="4" t="s">
        <v>554</v>
      </c>
      <c r="E98" s="4">
        <v>1</v>
      </c>
      <c r="F98" s="4">
        <f>Bilanca!G106</f>
        <v>97</v>
      </c>
      <c r="G98" s="4">
        <f>IF(Bilanca!H106=0,"",Bilanca!H106)</f>
      </c>
      <c r="H98" s="26">
        <f t="shared" si="4"/>
        <v>138394.75</v>
      </c>
      <c r="I98" s="27">
        <f t="shared" si="5"/>
        <v>0</v>
      </c>
      <c r="J98" s="27">
        <f>Bilanca!I106</f>
        <v>142675</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146955.25</v>
      </c>
      <c r="I104" s="27">
        <f t="shared" si="5"/>
        <v>0</v>
      </c>
      <c r="J104" s="27">
        <f>Bilanca!I112</f>
        <v>142675</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7576667.390000001</v>
      </c>
      <c r="I110" s="27">
        <f t="shared" si="5"/>
        <v>0</v>
      </c>
      <c r="J110" s="27">
        <f>Bilanca!I118</f>
        <v>2604245</v>
      </c>
      <c r="K110" s="27">
        <f>Bilanca!J118</f>
        <v>2173413</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106957.08</v>
      </c>
      <c r="I115" s="27">
        <f t="shared" si="5"/>
        <v>0</v>
      </c>
      <c r="J115" s="27">
        <f>Bilanca!I123</f>
        <v>0</v>
      </c>
      <c r="K115" s="27">
        <f>Bilanca!J123</f>
        <v>46911</v>
      </c>
    </row>
    <row r="116" spans="4:11" ht="12.75">
      <c r="D116" s="4" t="s">
        <v>554</v>
      </c>
      <c r="E116" s="4">
        <v>1</v>
      </c>
      <c r="F116" s="4">
        <f>Bilanca!G124</f>
        <v>115</v>
      </c>
      <c r="G116" s="4">
        <f>IF(Bilanca!H124=0,"",Bilanca!H124)</f>
      </c>
      <c r="H116" s="26">
        <f t="shared" si="4"/>
        <v>586978.4</v>
      </c>
      <c r="I116" s="27">
        <f t="shared" si="5"/>
        <v>0</v>
      </c>
      <c r="J116" s="27">
        <f>Bilanca!I124</f>
        <v>225066</v>
      </c>
      <c r="K116" s="27">
        <f>Bilanca!J124</f>
        <v>142675</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3468759.84</v>
      </c>
      <c r="I118" s="27">
        <f t="shared" si="5"/>
        <v>0</v>
      </c>
      <c r="J118" s="27">
        <f>Bilanca!I126</f>
        <v>1373784</v>
      </c>
      <c r="K118" s="27">
        <f>Bilanca!J126</f>
        <v>795484</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2062524.6600000001</v>
      </c>
      <c r="I120" s="27">
        <f t="shared" si="5"/>
        <v>0</v>
      </c>
      <c r="J120" s="27">
        <f>Bilanca!I128</f>
        <v>579080</v>
      </c>
      <c r="K120" s="27">
        <f>Bilanca!J128</f>
        <v>577067</v>
      </c>
    </row>
    <row r="121" spans="4:11" ht="12.75">
      <c r="D121" s="4" t="s">
        <v>554</v>
      </c>
      <c r="E121" s="4">
        <v>1</v>
      </c>
      <c r="F121" s="4">
        <f>Bilanca!G129</f>
        <v>120</v>
      </c>
      <c r="G121" s="4">
        <f>IF(Bilanca!H129=0,"",Bilanca!H129)</f>
      </c>
      <c r="H121" s="26">
        <f t="shared" si="4"/>
        <v>1910841.6</v>
      </c>
      <c r="I121" s="27">
        <f t="shared" si="5"/>
        <v>0</v>
      </c>
      <c r="J121" s="27">
        <f>Bilanca!I129</f>
        <v>406416</v>
      </c>
      <c r="K121" s="27">
        <f>Bilanca!J129</f>
        <v>592976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69493.77</v>
      </c>
      <c r="I124" s="27">
        <f t="shared" si="5"/>
        <v>0</v>
      </c>
      <c r="J124" s="27">
        <f>Bilanca!I132</f>
        <v>19899</v>
      </c>
      <c r="K124" s="27">
        <f>Bilanca!J132</f>
        <v>18300</v>
      </c>
    </row>
    <row r="125" spans="4:11" ht="12.75">
      <c r="D125" s="4" t="s">
        <v>554</v>
      </c>
      <c r="E125" s="4">
        <v>1</v>
      </c>
      <c r="F125" s="4">
        <f>Bilanca!G133</f>
        <v>124</v>
      </c>
      <c r="G125" s="4">
        <f>IF(Bilanca!H133=0,"",Bilanca!H133)</f>
      </c>
      <c r="H125" s="26">
        <f t="shared" si="4"/>
        <v>29520842.440000005</v>
      </c>
      <c r="I125" s="27">
        <f t="shared" si="5"/>
        <v>0</v>
      </c>
      <c r="J125" s="27">
        <f>Bilanca!I133</f>
        <v>8786567</v>
      </c>
      <c r="K125" s="27">
        <f>Bilanca!J133</f>
        <v>7510282</v>
      </c>
    </row>
    <row r="126" spans="4:11" ht="12.75">
      <c r="D126" s="4" t="s">
        <v>554</v>
      </c>
      <c r="E126" s="4">
        <v>1</v>
      </c>
      <c r="F126" s="4">
        <f>Bilanca!G134</f>
        <v>125</v>
      </c>
      <c r="G126" s="4">
        <f>IF(Bilanca!H134=0,"",Bilanca!H134)</f>
      </c>
      <c r="H126" s="26">
        <f t="shared" si="4"/>
        <v>94972812.5</v>
      </c>
      <c r="I126" s="27">
        <f t="shared" si="5"/>
        <v>0</v>
      </c>
      <c r="J126" s="27">
        <f>Bilanca!I134</f>
        <v>26390940</v>
      </c>
      <c r="K126" s="27">
        <f>Bilanca!J134</f>
        <v>24793655</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72497996.99000001</v>
      </c>
      <c r="I128" s="4">
        <f t="shared" si="5"/>
        <v>0</v>
      </c>
      <c r="J128" s="27">
        <f>RDG!I8</f>
        <v>17759097</v>
      </c>
      <c r="K128" s="27">
        <f>RDG!J8</f>
        <v>19662970</v>
      </c>
    </row>
    <row r="129" spans="4:11" ht="12.75">
      <c r="D129" s="4" t="s">
        <v>794</v>
      </c>
      <c r="E129" s="4">
        <v>2</v>
      </c>
      <c r="F129" s="4">
        <f>RDG!G9</f>
        <v>128</v>
      </c>
      <c r="G129" s="4">
        <f>IF(RDG!H9=0,"",RDG!H9)</f>
      </c>
      <c r="H129" s="26">
        <f t="shared" si="4"/>
        <v>712569.6000000001</v>
      </c>
      <c r="I129" s="4">
        <f t="shared" si="5"/>
        <v>0</v>
      </c>
      <c r="J129" s="27">
        <f>RDG!I9</f>
        <v>193967</v>
      </c>
      <c r="K129" s="27">
        <f>RDG!J9</f>
        <v>181364</v>
      </c>
    </row>
    <row r="130" spans="4:11" ht="12.75">
      <c r="D130" s="4" t="s">
        <v>794</v>
      </c>
      <c r="E130" s="4">
        <v>2</v>
      </c>
      <c r="F130" s="4">
        <f>RDG!G10</f>
        <v>129</v>
      </c>
      <c r="G130" s="4">
        <f>IF(RDG!H10=0,"",RDG!H10)</f>
      </c>
      <c r="H130" s="26">
        <f aca="true" t="shared" si="6" ref="H130:H192">J130/100*F130+2*K130/100*F130</f>
        <v>65648058.72</v>
      </c>
      <c r="I130" s="4">
        <f aca="true" t="shared" si="7" ref="I130:I192">ABS(ROUND(J130,0)-J130)+ABS(ROUND(K130,0)-K130)</f>
        <v>0</v>
      </c>
      <c r="J130" s="27">
        <f>RDG!I10</f>
        <v>15787186</v>
      </c>
      <c r="K130" s="27">
        <f>RDG!J10</f>
        <v>17551391</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7442653.68</v>
      </c>
      <c r="I133" s="4">
        <f t="shared" si="7"/>
        <v>0</v>
      </c>
      <c r="J133" s="27">
        <f>RDG!I13</f>
        <v>1777944</v>
      </c>
      <c r="K133" s="27">
        <f>RDG!J13</f>
        <v>1930215</v>
      </c>
    </row>
    <row r="134" spans="4:11" ht="12.75">
      <c r="D134" s="4" t="s">
        <v>794</v>
      </c>
      <c r="E134" s="4">
        <v>2</v>
      </c>
      <c r="F134" s="4">
        <f>RDG!G14</f>
        <v>133</v>
      </c>
      <c r="G134" s="4">
        <f>IF(RDG!H14=0,"",RDG!H14)</f>
      </c>
      <c r="H134" s="26">
        <f t="shared" si="6"/>
        <v>75906248.11</v>
      </c>
      <c r="I134" s="4">
        <f t="shared" si="7"/>
        <v>0</v>
      </c>
      <c r="J134" s="27">
        <f>RDG!I14</f>
        <v>17802379</v>
      </c>
      <c r="K134" s="27">
        <f>RDG!J14</f>
        <v>19634994</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20907702.45</v>
      </c>
      <c r="I136" s="4">
        <f t="shared" si="7"/>
        <v>0</v>
      </c>
      <c r="J136" s="27">
        <f>RDG!I16</f>
        <v>5333531</v>
      </c>
      <c r="K136" s="27">
        <f>RDG!J16</f>
        <v>5076828</v>
      </c>
    </row>
    <row r="137" spans="4:11" ht="12.75">
      <c r="D137" s="4" t="s">
        <v>794</v>
      </c>
      <c r="E137" s="4">
        <v>2</v>
      </c>
      <c r="F137" s="4">
        <f>RDG!G17</f>
        <v>136</v>
      </c>
      <c r="G137" s="4">
        <f>IF(RDG!H17=0,"",RDG!H17)</f>
      </c>
      <c r="H137" s="26">
        <f t="shared" si="6"/>
        <v>9713120</v>
      </c>
      <c r="I137" s="4">
        <f t="shared" si="7"/>
        <v>0</v>
      </c>
      <c r="J137" s="27">
        <f>RDG!I17</f>
        <v>2374506</v>
      </c>
      <c r="K137" s="27">
        <f>RDG!J17</f>
        <v>2383747</v>
      </c>
    </row>
    <row r="138" spans="4:11" ht="12.75">
      <c r="D138" s="4" t="s">
        <v>794</v>
      </c>
      <c r="E138" s="4">
        <v>2</v>
      </c>
      <c r="F138" s="4">
        <f>RDG!G18</f>
        <v>137</v>
      </c>
      <c r="G138" s="4">
        <f>IF(RDG!H18=0,"",RDG!H18)</f>
      </c>
      <c r="H138" s="26">
        <f t="shared" si="6"/>
        <v>1772252.5499999998</v>
      </c>
      <c r="I138" s="4">
        <f t="shared" si="7"/>
        <v>0</v>
      </c>
      <c r="J138" s="27">
        <f>RDG!I18</f>
        <v>510299</v>
      </c>
      <c r="K138" s="27">
        <f>RDG!J18</f>
        <v>391658</v>
      </c>
    </row>
    <row r="139" spans="4:11" ht="12.75">
      <c r="D139" s="4" t="s">
        <v>794</v>
      </c>
      <c r="E139" s="4">
        <v>2</v>
      </c>
      <c r="F139" s="4">
        <f>RDG!G19</f>
        <v>138</v>
      </c>
      <c r="G139" s="4">
        <f>IF(RDG!H19=0,"",RDG!H19)</f>
      </c>
      <c r="H139" s="26">
        <f t="shared" si="6"/>
        <v>9731169.36</v>
      </c>
      <c r="I139" s="4">
        <f t="shared" si="7"/>
        <v>0</v>
      </c>
      <c r="J139" s="27">
        <f>RDG!I19</f>
        <v>2448726</v>
      </c>
      <c r="K139" s="27">
        <f>RDG!J19</f>
        <v>2301423</v>
      </c>
    </row>
    <row r="140" spans="4:11" ht="12.75">
      <c r="D140" s="4" t="s">
        <v>794</v>
      </c>
      <c r="E140" s="4">
        <v>2</v>
      </c>
      <c r="F140" s="4">
        <f>RDG!G20</f>
        <v>139</v>
      </c>
      <c r="G140" s="4">
        <f>IF(RDG!H20=0,"",RDG!H20)</f>
      </c>
      <c r="H140" s="26">
        <f t="shared" si="6"/>
        <v>34735923.47</v>
      </c>
      <c r="I140" s="4">
        <f t="shared" si="7"/>
        <v>0</v>
      </c>
      <c r="J140" s="27">
        <f>RDG!I20</f>
        <v>7617113</v>
      </c>
      <c r="K140" s="27">
        <f>RDG!J20</f>
        <v>8686380</v>
      </c>
    </row>
    <row r="141" spans="4:11" ht="12.75">
      <c r="D141" s="4" t="s">
        <v>794</v>
      </c>
      <c r="E141" s="4">
        <v>2</v>
      </c>
      <c r="F141" s="4">
        <f>RDG!G21</f>
        <v>140</v>
      </c>
      <c r="G141" s="4">
        <f>IF(RDG!H21=0,"",RDG!H21)</f>
      </c>
      <c r="H141" s="26">
        <f t="shared" si="6"/>
        <v>22658598.2</v>
      </c>
      <c r="I141" s="4">
        <f t="shared" si="7"/>
        <v>0</v>
      </c>
      <c r="J141" s="27">
        <f>RDG!I21</f>
        <v>4943609</v>
      </c>
      <c r="K141" s="27">
        <f>RDG!J21</f>
        <v>5620552</v>
      </c>
    </row>
    <row r="142" spans="4:11" ht="12.75">
      <c r="D142" s="4" t="s">
        <v>794</v>
      </c>
      <c r="E142" s="4">
        <v>2</v>
      </c>
      <c r="F142" s="4">
        <f>RDG!G22</f>
        <v>141</v>
      </c>
      <c r="G142" s="4">
        <f>IF(RDG!H22=0,"",RDG!H22)</f>
      </c>
      <c r="H142" s="26">
        <f t="shared" si="6"/>
        <v>7457908.77</v>
      </c>
      <c r="I142" s="4">
        <f t="shared" si="7"/>
        <v>0</v>
      </c>
      <c r="J142" s="27">
        <f>RDG!I22</f>
        <v>1555327</v>
      </c>
      <c r="K142" s="27">
        <f>RDG!J22</f>
        <v>1866985</v>
      </c>
    </row>
    <row r="143" spans="4:11" ht="12.75">
      <c r="D143" s="4" t="s">
        <v>794</v>
      </c>
      <c r="E143" s="4">
        <v>2</v>
      </c>
      <c r="F143" s="4">
        <f>RDG!G23</f>
        <v>142</v>
      </c>
      <c r="G143" s="4">
        <f>IF(RDG!H23=0,"",RDG!H23)</f>
      </c>
      <c r="H143" s="26">
        <f t="shared" si="6"/>
        <v>4992525.46</v>
      </c>
      <c r="I143" s="4">
        <f t="shared" si="7"/>
        <v>0</v>
      </c>
      <c r="J143" s="27">
        <f>RDG!I23</f>
        <v>1118177</v>
      </c>
      <c r="K143" s="27">
        <f>RDG!J23</f>
        <v>1198843</v>
      </c>
    </row>
    <row r="144" spans="4:11" ht="12.75">
      <c r="D144" s="4" t="s">
        <v>794</v>
      </c>
      <c r="E144" s="4">
        <v>2</v>
      </c>
      <c r="F144" s="4">
        <f>RDG!G24</f>
        <v>143</v>
      </c>
      <c r="G144" s="4">
        <f>IF(RDG!H24=0,"",RDG!H24)</f>
      </c>
      <c r="H144" s="26">
        <f t="shared" si="6"/>
        <v>9810563.620000001</v>
      </c>
      <c r="I144" s="4">
        <f t="shared" si="7"/>
        <v>0</v>
      </c>
      <c r="J144" s="27">
        <f>RDG!I24</f>
        <v>2117768</v>
      </c>
      <c r="K144" s="27">
        <f>RDG!J24</f>
        <v>2371383</v>
      </c>
    </row>
    <row r="145" spans="4:11" ht="12.75">
      <c r="D145" s="4" t="s">
        <v>794</v>
      </c>
      <c r="E145" s="4">
        <v>2</v>
      </c>
      <c r="F145" s="4">
        <f>RDG!G25</f>
        <v>144</v>
      </c>
      <c r="G145" s="4">
        <f>IF(RDG!H25=0,"",RDG!H25)</f>
      </c>
      <c r="H145" s="26">
        <f t="shared" si="6"/>
        <v>11077179.84</v>
      </c>
      <c r="I145" s="4">
        <f t="shared" si="7"/>
        <v>0</v>
      </c>
      <c r="J145" s="27">
        <f>RDG!I25</f>
        <v>2470298</v>
      </c>
      <c r="K145" s="27">
        <f>RDG!J25</f>
        <v>2611094</v>
      </c>
    </row>
    <row r="146" spans="4:11" ht="12.75">
      <c r="D146" s="4" t="s">
        <v>794</v>
      </c>
      <c r="E146" s="4">
        <v>2</v>
      </c>
      <c r="F146" s="4">
        <f>RDG!G26</f>
        <v>145</v>
      </c>
      <c r="G146" s="4">
        <f>IF(RDG!H26=0,"",RDG!H26)</f>
      </c>
      <c r="H146" s="26">
        <f t="shared" si="6"/>
        <v>1034295.1500000001</v>
      </c>
      <c r="I146" s="4">
        <f t="shared" si="7"/>
        <v>0</v>
      </c>
      <c r="J146" s="27">
        <f>RDG!I26</f>
        <v>235503</v>
      </c>
      <c r="K146" s="27">
        <f>RDG!J26</f>
        <v>238902</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1048561.29</v>
      </c>
      <c r="I148" s="4">
        <f t="shared" si="7"/>
        <v>0</v>
      </c>
      <c r="J148" s="27">
        <f>RDG!I28</f>
        <v>235503</v>
      </c>
      <c r="K148" s="27">
        <f>RDG!J28</f>
        <v>238902</v>
      </c>
    </row>
    <row r="149" spans="4:11" ht="12.75">
      <c r="D149" s="4" t="s">
        <v>794</v>
      </c>
      <c r="E149" s="4">
        <v>2</v>
      </c>
      <c r="F149" s="4">
        <f>RDG!G29</f>
        <v>148</v>
      </c>
      <c r="G149" s="4">
        <f>IF(RDG!H29=0,"",RDG!H29)</f>
      </c>
      <c r="H149" s="26">
        <f t="shared" si="6"/>
        <v>1631214.5599999998</v>
      </c>
      <c r="I149" s="4">
        <f t="shared" si="7"/>
        <v>0</v>
      </c>
      <c r="J149" s="27">
        <f>RDG!I29</f>
        <v>0</v>
      </c>
      <c r="K149" s="27">
        <f>RDG!J29</f>
        <v>551086</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1697344.88</v>
      </c>
      <c r="I155" s="4">
        <f t="shared" si="7"/>
        <v>0</v>
      </c>
      <c r="J155" s="27">
        <f>RDG!I35</f>
        <v>0</v>
      </c>
      <c r="K155" s="27">
        <f>RDG!J35</f>
        <v>551086</v>
      </c>
    </row>
    <row r="156" spans="4:11" ht="12.75">
      <c r="D156" s="4" t="s">
        <v>794</v>
      </c>
      <c r="E156" s="4">
        <v>2</v>
      </c>
      <c r="F156" s="4">
        <f>RDG!G36</f>
        <v>155</v>
      </c>
      <c r="G156" s="4">
        <f>IF(RDG!H36=0,"",RDG!H36)</f>
      </c>
      <c r="H156" s="26">
        <f t="shared" si="6"/>
        <v>351552.4</v>
      </c>
      <c r="I156" s="4">
        <f t="shared" si="7"/>
        <v>0</v>
      </c>
      <c r="J156" s="27">
        <f>RDG!I36</f>
        <v>28166</v>
      </c>
      <c r="K156" s="27">
        <f>RDG!J36</f>
        <v>99321</v>
      </c>
    </row>
    <row r="157" spans="4:11" ht="12.75">
      <c r="D157" s="4" t="s">
        <v>794</v>
      </c>
      <c r="E157" s="4">
        <v>2</v>
      </c>
      <c r="F157" s="4">
        <f>RDG!G37</f>
        <v>156</v>
      </c>
      <c r="G157" s="4">
        <f>IF(RDG!H37=0,"",RDG!H37)</f>
      </c>
      <c r="H157" s="26">
        <f t="shared" si="6"/>
        <v>596266.3200000001</v>
      </c>
      <c r="I157" s="4">
        <f t="shared" si="7"/>
        <v>0</v>
      </c>
      <c r="J157" s="27">
        <f>RDG!I37</f>
        <v>127016</v>
      </c>
      <c r="K157" s="27">
        <f>RDG!J37</f>
        <v>127603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622259.02</v>
      </c>
      <c r="I164" s="4">
        <f t="shared" si="7"/>
        <v>0</v>
      </c>
      <c r="J164" s="27">
        <f>RDG!I44</f>
        <v>126872</v>
      </c>
      <c r="K164" s="27">
        <f>RDG!J44</f>
        <v>127441</v>
      </c>
    </row>
    <row r="165" spans="4:11" ht="12.75">
      <c r="D165" s="4" t="s">
        <v>794</v>
      </c>
      <c r="E165" s="4">
        <v>2</v>
      </c>
      <c r="F165" s="4">
        <f>RDG!G45</f>
        <v>164</v>
      </c>
      <c r="G165" s="4">
        <f>IF(RDG!H45=0,"",RDG!H45)</f>
      </c>
      <c r="H165" s="26">
        <f t="shared" si="6"/>
        <v>767.52</v>
      </c>
      <c r="I165" s="4">
        <f t="shared" si="7"/>
        <v>0</v>
      </c>
      <c r="J165" s="27">
        <f>RDG!I45</f>
        <v>144</v>
      </c>
      <c r="K165" s="27">
        <f>RDG!J45</f>
        <v>162</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50375.55</v>
      </c>
      <c r="I168" s="4">
        <f t="shared" si="7"/>
        <v>0</v>
      </c>
      <c r="J168" s="27">
        <f>RDG!I48</f>
        <v>14203</v>
      </c>
      <c r="K168" s="27">
        <f>RDG!J48</f>
        <v>7981</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51215.9</v>
      </c>
      <c r="I171" s="4">
        <f t="shared" si="7"/>
        <v>0</v>
      </c>
      <c r="J171" s="27">
        <f>RDG!I51</f>
        <v>14165</v>
      </c>
      <c r="K171" s="27">
        <f>RDG!J51</f>
        <v>7981</v>
      </c>
    </row>
    <row r="172" spans="4:11" ht="12.75">
      <c r="D172" s="4" t="s">
        <v>794</v>
      </c>
      <c r="E172" s="4">
        <v>2</v>
      </c>
      <c r="F172" s="4">
        <f>RDG!G52</f>
        <v>171</v>
      </c>
      <c r="G172" s="4">
        <f>IF(RDG!H52=0,"",RDG!H52)</f>
      </c>
      <c r="H172" s="26">
        <f t="shared" si="6"/>
        <v>64.98</v>
      </c>
      <c r="I172" s="4">
        <f t="shared" si="7"/>
        <v>0</v>
      </c>
      <c r="J172" s="27">
        <f>RDG!I52</f>
        <v>38</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102866393.61</v>
      </c>
      <c r="I180" s="4">
        <f t="shared" si="7"/>
        <v>0</v>
      </c>
      <c r="J180" s="27">
        <f>RDG!I60</f>
        <v>17886113</v>
      </c>
      <c r="K180" s="27">
        <f>RDG!J60</f>
        <v>19790573</v>
      </c>
    </row>
    <row r="181" spans="4:11" ht="12.75">
      <c r="D181" s="4" t="s">
        <v>794</v>
      </c>
      <c r="E181" s="4">
        <v>2</v>
      </c>
      <c r="F181" s="4">
        <f>RDG!G61</f>
        <v>180</v>
      </c>
      <c r="G181" s="4">
        <f>IF(RDG!H61=0,"",RDG!H61)</f>
      </c>
      <c r="H181" s="26">
        <f t="shared" si="6"/>
        <v>102784557.6</v>
      </c>
      <c r="I181" s="4">
        <f t="shared" si="7"/>
        <v>0</v>
      </c>
      <c r="J181" s="27">
        <f>RDG!I61</f>
        <v>17816582</v>
      </c>
      <c r="K181" s="27">
        <f>RDG!J61</f>
        <v>19642975</v>
      </c>
    </row>
    <row r="182" spans="4:11" ht="12.75">
      <c r="D182" s="4" t="s">
        <v>794</v>
      </c>
      <c r="E182" s="4">
        <v>2</v>
      </c>
      <c r="F182" s="4">
        <f>RDG!G62</f>
        <v>181</v>
      </c>
      <c r="G182" s="4">
        <f>IF(RDG!H62=0,"",RDG!H62)</f>
      </c>
      <c r="H182" s="26">
        <f t="shared" si="6"/>
        <v>660155.87</v>
      </c>
      <c r="I182" s="4">
        <f t="shared" si="7"/>
        <v>0</v>
      </c>
      <c r="J182" s="27">
        <f>RDG!I62</f>
        <v>69531</v>
      </c>
      <c r="K182" s="27">
        <f>RDG!J62</f>
        <v>147598</v>
      </c>
    </row>
    <row r="183" spans="4:11" ht="12.75">
      <c r="D183" s="4" t="s">
        <v>794</v>
      </c>
      <c r="E183" s="4">
        <v>2</v>
      </c>
      <c r="F183" s="4">
        <f>RDG!G63</f>
        <v>182</v>
      </c>
      <c r="G183" s="4">
        <f>IF(RDG!H63=0,"",RDG!H63)</f>
      </c>
      <c r="H183" s="26">
        <f t="shared" si="6"/>
        <v>663803.1399999999</v>
      </c>
      <c r="I183" s="4">
        <f t="shared" si="7"/>
        <v>0</v>
      </c>
      <c r="J183" s="27">
        <f>RDG!I63</f>
        <v>69531</v>
      </c>
      <c r="K183" s="27">
        <f>RDG!J63</f>
        <v>147598</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177475.36</v>
      </c>
      <c r="I185" s="4">
        <f t="shared" si="7"/>
        <v>0</v>
      </c>
      <c r="J185" s="27">
        <f>RDG!I65</f>
        <v>0</v>
      </c>
      <c r="K185" s="27">
        <f>RDG!J65</f>
        <v>48227</v>
      </c>
    </row>
    <row r="186" spans="4:11" ht="12.75">
      <c r="D186" s="4" t="s">
        <v>794</v>
      </c>
      <c r="E186" s="4">
        <v>2</v>
      </c>
      <c r="F186" s="4">
        <f>RDG!G66</f>
        <v>185</v>
      </c>
      <c r="G186" s="4">
        <f>IF(RDG!H66=0,"",RDG!H66)</f>
      </c>
      <c r="H186" s="26">
        <f t="shared" si="6"/>
        <v>496305.05</v>
      </c>
      <c r="I186" s="4">
        <f t="shared" si="7"/>
        <v>0</v>
      </c>
      <c r="J186" s="27">
        <f>RDG!I66</f>
        <v>69531</v>
      </c>
      <c r="K186" s="27">
        <f>RDG!J66</f>
        <v>99371</v>
      </c>
    </row>
    <row r="187" spans="4:11" ht="12.75">
      <c r="D187" s="4" t="s">
        <v>794</v>
      </c>
      <c r="E187" s="4">
        <v>2</v>
      </c>
      <c r="F187" s="4">
        <f>RDG!G67</f>
        <v>186</v>
      </c>
      <c r="G187" s="4">
        <f>IF(RDG!H67=0,"",RDG!H67)</f>
      </c>
      <c r="H187" s="26">
        <f t="shared" si="6"/>
        <v>498987.77999999997</v>
      </c>
      <c r="I187" s="4">
        <f t="shared" si="7"/>
        <v>0</v>
      </c>
      <c r="J187" s="27">
        <f>RDG!I67</f>
        <v>69531</v>
      </c>
      <c r="K187" s="27">
        <f>RDG!J67</f>
        <v>99371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761346.72</v>
      </c>
      <c r="I229" s="4">
        <f>ABS(ROUND(J229,0)-J229)+ABS(ROUND(K229,0)-K229)</f>
        <v>0</v>
      </c>
      <c r="J229" s="27">
        <f>Dodatni!I9</f>
        <v>23414</v>
      </c>
      <c r="K229" s="27">
        <f>Dodatni!J9</f>
        <v>155255</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1336068</v>
      </c>
      <c r="I241" s="4">
        <f t="shared" si="13"/>
        <v>0</v>
      </c>
      <c r="J241" s="27">
        <f>Dodatni!I23</f>
        <v>193967</v>
      </c>
      <c r="K241" s="27">
        <f>Dodatni!J23</f>
        <v>181364</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123153722.56</v>
      </c>
      <c r="I243" s="4">
        <f t="shared" si="13"/>
        <v>0</v>
      </c>
      <c r="J243" s="27">
        <f>Dodatni!I26</f>
        <v>15787186</v>
      </c>
      <c r="K243" s="27">
        <f>Dodatni!J26</f>
        <v>17551391</v>
      </c>
    </row>
    <row r="244" spans="4:11" ht="12.75">
      <c r="D244" s="4" t="s">
        <v>555</v>
      </c>
      <c r="E244" s="4">
        <v>3</v>
      </c>
      <c r="F244" s="4">
        <f>Dodatni!H27</f>
        <v>243</v>
      </c>
      <c r="H244" s="26">
        <f t="shared" si="12"/>
        <v>1352768.85</v>
      </c>
      <c r="I244" s="4">
        <f t="shared" si="13"/>
        <v>0</v>
      </c>
      <c r="J244" s="27">
        <f>Dodatni!I27</f>
        <v>193967</v>
      </c>
      <c r="K244" s="27">
        <f>Dodatni!J27</f>
        <v>181364</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14152318.74</v>
      </c>
      <c r="I252" s="4">
        <f t="shared" si="13"/>
        <v>0</v>
      </c>
      <c r="J252" s="27">
        <f>Dodatni!I35</f>
        <v>1777944</v>
      </c>
      <c r="K252" s="27">
        <f>Dodatni!J35</f>
        <v>1930215</v>
      </c>
    </row>
    <row r="253" spans="4:11" ht="12.75">
      <c r="D253" s="4" t="s">
        <v>555</v>
      </c>
      <c r="E253" s="4">
        <v>3</v>
      </c>
      <c r="F253" s="4">
        <f>Dodatni!H37</f>
        <v>252</v>
      </c>
      <c r="H253" s="26">
        <f t="shared" si="12"/>
        <v>129645590.75999999</v>
      </c>
      <c r="I253" s="4">
        <f t="shared" si="13"/>
        <v>0</v>
      </c>
      <c r="J253" s="27">
        <f>Dodatni!I37</f>
        <v>15981153</v>
      </c>
      <c r="K253" s="27">
        <f>Dodatni!J37</f>
        <v>17732755</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7939113.5200000005</v>
      </c>
      <c r="I263" s="4">
        <f t="shared" si="13"/>
        <v>0</v>
      </c>
      <c r="J263" s="27">
        <f>Dodatni!I50</f>
        <v>863838</v>
      </c>
      <c r="K263" s="27">
        <f>Dodatni!J50</f>
        <v>1083179</v>
      </c>
    </row>
    <row r="264" spans="4:11" ht="12.75">
      <c r="D264" s="4" t="s">
        <v>555</v>
      </c>
      <c r="E264" s="4">
        <v>3</v>
      </c>
      <c r="F264" s="4">
        <f>Dodatni!H51</f>
        <v>263</v>
      </c>
      <c r="H264" s="26">
        <f t="shared" si="12"/>
        <v>731403</v>
      </c>
      <c r="I264" s="4">
        <f t="shared" si="13"/>
        <v>0</v>
      </c>
      <c r="J264" s="27">
        <f>Dodatni!I51</f>
        <v>88996</v>
      </c>
      <c r="K264" s="27">
        <f>Dodatni!J51</f>
        <v>94552</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11852850.940000001</v>
      </c>
      <c r="I267" s="4">
        <f t="shared" si="13"/>
        <v>0</v>
      </c>
      <c r="J267" s="27">
        <f>Dodatni!I54</f>
        <v>1481225</v>
      </c>
      <c r="K267" s="27">
        <f>Dodatni!J54</f>
        <v>1487367</v>
      </c>
    </row>
    <row r="268" spans="4:11" ht="12.75">
      <c r="D268" s="4" t="s">
        <v>555</v>
      </c>
      <c r="E268" s="4">
        <v>3</v>
      </c>
      <c r="F268" s="4">
        <f>Dodatni!H55</f>
        <v>267</v>
      </c>
      <c r="H268" s="26">
        <f t="shared" si="12"/>
        <v>744783.1499999999</v>
      </c>
      <c r="I268" s="4">
        <f t="shared" si="13"/>
        <v>0</v>
      </c>
      <c r="J268" s="27">
        <f>Dodatni!I55</f>
        <v>147087</v>
      </c>
      <c r="K268" s="27">
        <f>Dodatni!J55</f>
        <v>65929</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761238.24</v>
      </c>
      <c r="I273" s="4">
        <f t="shared" si="13"/>
        <v>0</v>
      </c>
      <c r="J273" s="27">
        <f>Dodatni!I60</f>
        <v>87953</v>
      </c>
      <c r="K273" s="27">
        <f>Dodatni!J60</f>
        <v>95957</v>
      </c>
    </row>
    <row r="274" spans="4:11" ht="12.75">
      <c r="D274" s="4" t="s">
        <v>555</v>
      </c>
      <c r="E274" s="4">
        <v>3</v>
      </c>
      <c r="F274" s="4">
        <f>Dodatni!H61</f>
        <v>273</v>
      </c>
      <c r="H274" s="26">
        <f t="shared" si="12"/>
        <v>764036.91</v>
      </c>
      <c r="I274" s="4">
        <f t="shared" si="13"/>
        <v>0</v>
      </c>
      <c r="J274" s="27">
        <f>Dodatni!I61</f>
        <v>87953</v>
      </c>
      <c r="K274" s="27">
        <f>Dodatni!J61</f>
        <v>95957</v>
      </c>
    </row>
    <row r="275" spans="4:11" ht="12.75">
      <c r="D275" s="4" t="s">
        <v>555</v>
      </c>
      <c r="E275" s="4">
        <v>3</v>
      </c>
      <c r="F275" s="4">
        <f>Dodatni!H62</f>
        <v>274</v>
      </c>
      <c r="H275" s="26">
        <f t="shared" si="12"/>
        <v>520687.67999999993</v>
      </c>
      <c r="I275" s="4">
        <f t="shared" si="13"/>
        <v>0</v>
      </c>
      <c r="J275" s="27">
        <f>Dodatni!I62</f>
        <v>62170</v>
      </c>
      <c r="K275" s="27">
        <f>Dodatni!J62</f>
        <v>63931</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1113651.72</v>
      </c>
      <c r="I277" s="4">
        <f t="shared" si="13"/>
        <v>0</v>
      </c>
      <c r="J277" s="27">
        <f>Dodatni!I64</f>
        <v>201851</v>
      </c>
      <c r="K277" s="27">
        <f>Dodatni!J64</f>
        <v>100823</v>
      </c>
    </row>
    <row r="278" spans="4:11" ht="12.75">
      <c r="D278" s="4" t="s">
        <v>555</v>
      </c>
      <c r="E278" s="4">
        <v>3</v>
      </c>
      <c r="F278" s="4">
        <f>Dodatni!H65</f>
        <v>277</v>
      </c>
      <c r="H278" s="26">
        <f t="shared" si="12"/>
        <v>6993419</v>
      </c>
      <c r="I278" s="4">
        <f t="shared" si="13"/>
        <v>0</v>
      </c>
      <c r="J278" s="27">
        <f>Dodatni!I65</f>
        <v>699050</v>
      </c>
      <c r="K278" s="27">
        <f>Dodatni!J65</f>
        <v>912825</v>
      </c>
    </row>
    <row r="279" spans="4:11" ht="12.75">
      <c r="D279" s="4" t="s">
        <v>555</v>
      </c>
      <c r="E279" s="4">
        <v>3</v>
      </c>
      <c r="F279" s="4">
        <f>Dodatni!H66</f>
        <v>278</v>
      </c>
      <c r="H279" s="26">
        <f t="shared" si="12"/>
        <v>177920</v>
      </c>
      <c r="I279" s="4">
        <f t="shared" si="13"/>
        <v>0</v>
      </c>
      <c r="J279" s="27">
        <f>Dodatni!I66</f>
        <v>24000</v>
      </c>
      <c r="K279" s="27">
        <f>Dodatni!J66</f>
        <v>20000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1084181.3599999999</v>
      </c>
      <c r="I285" s="4">
        <f aca="true" t="shared" si="15" ref="I285:I294">ABS(ROUND(J285,0)-J285)+ABS(ROUND(K285,0)-K285)</f>
        <v>0</v>
      </c>
      <c r="J285" s="27">
        <f>Dodatni!I73</f>
        <v>126872</v>
      </c>
      <c r="K285" s="27">
        <f>Dodatni!J73</f>
        <v>127441</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86464.49</v>
      </c>
      <c r="I288" s="4">
        <f t="shared" si="15"/>
        <v>0</v>
      </c>
      <c r="J288" s="27">
        <f>Dodatni!I76</f>
        <v>14165</v>
      </c>
      <c r="K288" s="27">
        <f>Dodatni!J76</f>
        <v>7981</v>
      </c>
    </row>
    <row r="289" spans="4:11" ht="12.75">
      <c r="D289" s="4" t="s">
        <v>555</v>
      </c>
      <c r="E289" s="4">
        <v>3</v>
      </c>
      <c r="F289" s="4">
        <f>Dodatni!H78</f>
        <v>288</v>
      </c>
      <c r="H289" s="26">
        <f t="shared" si="14"/>
        <v>304802340.48</v>
      </c>
      <c r="I289" s="4">
        <f t="shared" si="15"/>
        <v>0</v>
      </c>
      <c r="J289" s="27">
        <f>Dodatni!I78</f>
        <v>34728208</v>
      </c>
      <c r="K289" s="27">
        <f>Dodatni!J78</f>
        <v>35552969</v>
      </c>
    </row>
    <row r="290" spans="4:11" ht="12.75">
      <c r="D290" s="4" t="s">
        <v>555</v>
      </c>
      <c r="E290" s="4">
        <v>3</v>
      </c>
      <c r="F290" s="4">
        <f>Dodatni!H79</f>
        <v>289</v>
      </c>
      <c r="H290" s="26">
        <f t="shared" si="14"/>
        <v>136999366.25</v>
      </c>
      <c r="I290" s="4">
        <f t="shared" si="15"/>
        <v>0</v>
      </c>
      <c r="J290" s="27">
        <f>Dodatni!I79</f>
        <v>15586373</v>
      </c>
      <c r="K290" s="27">
        <f>Dodatni!J79</f>
        <v>15909126</v>
      </c>
    </row>
    <row r="291" spans="4:11" ht="12.75">
      <c r="D291" s="4" t="s">
        <v>555</v>
      </c>
      <c r="E291" s="4">
        <v>3</v>
      </c>
      <c r="F291" s="4">
        <f>Dodatni!H80</f>
        <v>290</v>
      </c>
      <c r="H291" s="26">
        <f t="shared" si="14"/>
        <v>32997122.200000003</v>
      </c>
      <c r="I291" s="4">
        <f t="shared" si="15"/>
        <v>0</v>
      </c>
      <c r="J291" s="27">
        <f>Dodatni!I80</f>
        <v>3813874</v>
      </c>
      <c r="K291" s="27">
        <f>Dodatni!J80</f>
        <v>3782222</v>
      </c>
    </row>
    <row r="292" spans="4:11" ht="12.75">
      <c r="D292" s="4" t="s">
        <v>555</v>
      </c>
      <c r="E292" s="4">
        <v>3</v>
      </c>
      <c r="F292" s="4">
        <f>Dodatni!H81</f>
        <v>291</v>
      </c>
      <c r="H292" s="26">
        <f t="shared" si="14"/>
        <v>115152026.13000001</v>
      </c>
      <c r="I292" s="4">
        <f t="shared" si="15"/>
        <v>0</v>
      </c>
      <c r="J292" s="27">
        <f>Dodatni!I81</f>
        <v>12861849</v>
      </c>
      <c r="K292" s="27">
        <f>Dodatni!J81</f>
        <v>13354647</v>
      </c>
    </row>
    <row r="293" spans="4:11" ht="12.75">
      <c r="D293" s="4" t="s">
        <v>555</v>
      </c>
      <c r="E293" s="4">
        <v>3</v>
      </c>
      <c r="F293" s="4">
        <f>Dodatni!H82</f>
        <v>292</v>
      </c>
      <c r="H293" s="26">
        <f t="shared" si="14"/>
        <v>21841775.2</v>
      </c>
      <c r="I293" s="4">
        <f t="shared" si="15"/>
        <v>0</v>
      </c>
      <c r="J293" s="27">
        <f>Dodatni!I82</f>
        <v>2466112</v>
      </c>
      <c r="K293" s="27">
        <f>Dodatni!J82</f>
        <v>2506974</v>
      </c>
    </row>
    <row r="294" spans="4:11" ht="12.75">
      <c r="D294" s="4" t="s">
        <v>555</v>
      </c>
      <c r="E294" s="4">
        <v>3</v>
      </c>
      <c r="F294" s="4">
        <f>Dodatni!H83</f>
        <v>293</v>
      </c>
      <c r="H294" s="26">
        <f t="shared" si="14"/>
        <v>155776.38</v>
      </c>
      <c r="I294" s="4">
        <f t="shared" si="15"/>
        <v>0</v>
      </c>
      <c r="J294" s="27">
        <f>Dodatni!I83</f>
        <v>17722</v>
      </c>
      <c r="K294" s="27">
        <f>Dodatni!J83</f>
        <v>17722</v>
      </c>
    </row>
    <row r="295" spans="4:11" ht="12.75">
      <c r="D295" s="4" t="s">
        <v>555</v>
      </c>
      <c r="E295" s="4">
        <v>3</v>
      </c>
      <c r="F295" s="4">
        <f>Dodatni!H84</f>
        <v>294</v>
      </c>
      <c r="H295" s="26">
        <f aca="true" t="shared" si="16" ref="H295:H301">J295/100*F295+2*K295/100*F295</f>
        <v>9220774.92</v>
      </c>
      <c r="I295" s="4">
        <f aca="true" t="shared" si="17" ref="I295:I301">ABS(ROUND(J295,0)-J295)+ABS(ROUND(K295,0)-K295)</f>
        <v>0</v>
      </c>
      <c r="J295" s="27">
        <f>Dodatni!I84</f>
        <v>963816</v>
      </c>
      <c r="K295" s="27">
        <f>Dodatni!J84</f>
        <v>1086251</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5"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IVKOM D.D.</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42240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31407797858</v>
      </c>
      <c r="V4" s="206" t="s">
        <v>2737</v>
      </c>
      <c r="W4" s="224" t="str">
        <f>RefStr!F31</f>
        <v>IVANEC</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03136906</v>
      </c>
      <c r="V5" s="206" t="s">
        <v>2738</v>
      </c>
      <c r="W5" s="224" t="str">
        <f>RefStr!C33</f>
        <v>V. Nazora 96 B</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070000553</v>
      </c>
      <c r="V6" s="206" t="s">
        <v>2968</v>
      </c>
      <c r="W6" s="224" t="str">
        <f>RefStr!L35</f>
        <v>042/770-550</v>
      </c>
      <c r="X6" s="206" t="s">
        <v>2926</v>
      </c>
      <c r="Y6" s="224" t="str">
        <f>RefStr!C68</f>
        <v>Brankica Kušen</v>
      </c>
      <c r="Z6" s="206" t="s">
        <v>2952</v>
      </c>
      <c r="AA6" s="224">
        <f>RefStr!C46</f>
        <v>0</v>
      </c>
    </row>
    <row r="7" spans="1:27" ht="13.5" customHeight="1">
      <c r="A7" s="504"/>
      <c r="B7" s="505"/>
      <c r="C7" s="505"/>
      <c r="D7" s="505"/>
      <c r="E7" s="505"/>
      <c r="F7" s="505"/>
      <c r="G7" s="505"/>
      <c r="H7" s="505"/>
      <c r="I7" s="214" t="s">
        <v>211</v>
      </c>
      <c r="J7" s="216">
        <f>SUM(M12:M122)</f>
        <v>1</v>
      </c>
      <c r="N7" s="203" t="s">
        <v>795</v>
      </c>
      <c r="O7" s="206">
        <f>PK!AC1</f>
        <v>0</v>
      </c>
      <c r="P7" s="207">
        <f>PK!AC2</f>
        <v>0</v>
      </c>
      <c r="Q7" s="224">
        <f>PK!AC3</f>
        <v>0</v>
      </c>
      <c r="R7" s="206" t="s">
        <v>2969</v>
      </c>
      <c r="S7" s="224">
        <f>IF(RefStr!C44&lt;&gt;"",IF(ISERROR(INT(RefStr!C44)),0,RefStr!C44),0)</f>
        <v>7</v>
      </c>
      <c r="T7" s="206" t="s">
        <v>916</v>
      </c>
      <c r="U7" s="224">
        <f>RefStr!C7</f>
        <v>4</v>
      </c>
      <c r="V7" s="206" t="s">
        <v>2884</v>
      </c>
      <c r="W7" s="224" t="str">
        <f>TRIM(UPPER(RefStr!C35))</f>
        <v>IVKOM@IVKOM.HR</v>
      </c>
      <c r="X7" s="206" t="s">
        <v>2927</v>
      </c>
      <c r="Y7" s="224" t="str">
        <f>RefStr!C70</f>
        <v>042770573</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Dioničko društvo</v>
      </c>
      <c r="V8" s="206" t="s">
        <v>2974</v>
      </c>
      <c r="W8" s="224" t="str">
        <f>RefStr!C42</f>
        <v>3811</v>
      </c>
      <c r="X8" s="206" t="s">
        <v>2928</v>
      </c>
      <c r="Y8" s="224" t="str">
        <f>TRIM(UPPER(RefStr!C72))</f>
        <v>BRANKICA@IVKOM.HR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77</v>
      </c>
      <c r="Q9" s="223">
        <f>RefStr!F58</f>
        <v>80</v>
      </c>
      <c r="R9" s="206" t="s">
        <v>914</v>
      </c>
      <c r="S9" s="224">
        <f>IF(RefStr!F4&lt;&gt;"",RefStr!F4,0)</f>
        <v>44926</v>
      </c>
      <c r="T9" s="206" t="s">
        <v>891</v>
      </c>
      <c r="U9" s="224">
        <f>RefStr!C39</f>
        <v>156</v>
      </c>
      <c r="V9" s="206" t="s">
        <v>2951</v>
      </c>
      <c r="W9" s="224" t="str">
        <f>RefStr!D42</f>
        <v>Skupljanje neopasnog otpada</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87</v>
      </c>
      <c r="Q10" s="225">
        <f>RefStr!F56</f>
        <v>91</v>
      </c>
      <c r="R10" s="208" t="s">
        <v>917</v>
      </c>
      <c r="S10" s="225">
        <f>RefStr!C23</f>
        <v>1</v>
      </c>
      <c r="T10" s="208" t="s">
        <v>2973</v>
      </c>
      <c r="U10" s="225" t="str">
        <f>RefStr!D39</f>
        <v>Ivanec</v>
      </c>
      <c r="V10" s="232"/>
      <c r="W10" s="233"/>
      <c r="X10" s="234" t="s">
        <v>2279</v>
      </c>
      <c r="Y10" s="235">
        <f>RefStr!F12</f>
        <v>2022</v>
      </c>
      <c r="Z10" s="208" t="s">
        <v>1771</v>
      </c>
      <c r="AA10" s="225" t="str">
        <f>RefStr!A75</f>
        <v>Rajh Edo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C:\Users\Maja\AppData\Local\Microsoft\Windows\INetCache\Content.Outlook\NPI4GD82\[GFI-POD - 2022 Ivkom.xls]RefStr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4</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313690.6</v>
      </c>
    </row>
    <row r="13" spans="4:17" ht="9.75" customHeight="1">
      <c r="D13" s="152"/>
      <c r="E13" s="158"/>
      <c r="H13" s="23"/>
      <c r="I13" s="159"/>
      <c r="J13" s="159"/>
      <c r="K13" s="152"/>
      <c r="L13" s="152"/>
      <c r="M13" s="152"/>
      <c r="N13" s="152"/>
      <c r="P13" s="50" t="s">
        <v>1561</v>
      </c>
      <c r="Q13" s="51">
        <f>INT(VALUE(M27))/50</f>
        <v>1400011.06</v>
      </c>
    </row>
    <row r="14" spans="1:17" ht="15">
      <c r="A14" s="289" t="s">
        <v>1312</v>
      </c>
      <c r="B14" s="289"/>
      <c r="C14" s="289"/>
      <c r="D14" s="160"/>
      <c r="E14" s="161"/>
      <c r="F14" s="287"/>
      <c r="G14" s="288"/>
      <c r="H14" s="288"/>
      <c r="I14" s="152"/>
      <c r="J14" s="310" t="s">
        <v>1978</v>
      </c>
      <c r="K14" s="311"/>
      <c r="L14" s="311"/>
      <c r="M14" s="311"/>
      <c r="N14" s="311"/>
      <c r="P14" s="50" t="s">
        <v>1316</v>
      </c>
      <c r="Q14" s="51">
        <f>INT(VALUE(C27))/100</f>
        <v>314077978.58</v>
      </c>
    </row>
    <row r="15" spans="1:17" ht="19.5" customHeight="1">
      <c r="A15" s="307">
        <f>Skriveni!B59</f>
        <v>2116555846.0400004</v>
      </c>
      <c r="B15" s="308"/>
      <c r="C15" s="309"/>
      <c r="D15" s="56"/>
      <c r="E15" s="56"/>
      <c r="F15" s="56"/>
      <c r="G15" s="56"/>
      <c r="H15" s="56"/>
      <c r="I15" s="56"/>
      <c r="J15" s="56"/>
      <c r="K15" s="56"/>
      <c r="L15" s="56"/>
      <c r="M15" s="56"/>
      <c r="N15" s="56"/>
      <c r="P15" s="50" t="s">
        <v>887</v>
      </c>
      <c r="Q15" s="51">
        <f>LEN(Skriveni!B9)</f>
        <v>10</v>
      </c>
    </row>
    <row r="16" spans="4:17" ht="12.75" customHeight="1">
      <c r="D16" s="56"/>
      <c r="E16" s="56"/>
      <c r="F16" s="56"/>
      <c r="G16" s="56"/>
      <c r="H16" s="56"/>
      <c r="I16" s="56"/>
      <c r="P16" s="50" t="s">
        <v>888</v>
      </c>
      <c r="Q16" s="51">
        <f>INT(VALUE(C31))/100</f>
        <v>422.4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2995</v>
      </c>
      <c r="P19" s="50" t="s">
        <v>890</v>
      </c>
      <c r="Q19" s="51">
        <f>LEN(Skriveni!B12)</f>
        <v>14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2982</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42240</v>
      </c>
      <c r="D31" s="343" t="s">
        <v>929</v>
      </c>
      <c r="E31" s="344"/>
      <c r="F31" s="345" t="s">
        <v>2986</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156</v>
      </c>
      <c r="D39" s="358" t="str">
        <f>IF(C39="","Upišite šifru grada/općine",IF(ISNA(LOOKUP(C39,A177:A732,A177:A732)),"Šifra grada/općine ne postoji",IF(LOOKUP(C39,A177:A732,A177:A732)&lt;&gt;C39,"Šifra grada/općine ne postoji",LOOKUP(C39,A177:A732,B177:B732))))</f>
        <v>Ivanec</v>
      </c>
      <c r="E39" s="359"/>
      <c r="F39" s="359"/>
      <c r="G39" s="359"/>
      <c r="H39" s="279" t="s">
        <v>2109</v>
      </c>
      <c r="I39" s="280"/>
      <c r="J39" s="54">
        <f>IF(C39&gt;0,LOOKUP(C39,A177:A732,C177:C732),"")</f>
        <v>5</v>
      </c>
      <c r="K39" s="350" t="str">
        <f>IF(J39="","Upišite šifru grada/općine",LOOKUP(J39,A153:A173,B153:B173))</f>
        <v>VARAŽDINSKA</v>
      </c>
      <c r="L39" s="350"/>
      <c r="M39" s="350"/>
      <c r="N39" s="350"/>
      <c r="P39" s="50" t="s">
        <v>896</v>
      </c>
      <c r="Q39" s="51">
        <f>C56+2*F56+3*C58+4*F58</f>
        <v>820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7</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81"/>
      <c r="F44" s="381"/>
      <c r="G44" s="381"/>
      <c r="H44" s="381"/>
      <c r="I44" s="381"/>
      <c r="J44" s="381"/>
      <c r="K44" s="381"/>
      <c r="L44" s="381"/>
      <c r="M44" s="381"/>
      <c r="N44" s="381"/>
      <c r="P44" s="50" t="s">
        <v>1299</v>
      </c>
      <c r="Q44" s="51">
        <f>LEN(Skriveni!B43)</f>
        <v>8</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0.7</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87</v>
      </c>
      <c r="D56" s="272" t="s">
        <v>2653</v>
      </c>
      <c r="E56" s="362"/>
      <c r="F56" s="40">
        <v>91</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77</v>
      </c>
      <c r="D58" s="354" t="s">
        <v>2653</v>
      </c>
      <c r="E58" s="354"/>
      <c r="F58" s="40">
        <v>80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5"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16350973</v>
      </c>
      <c r="J10" s="66">
        <f>J11+J18+J28+J39+J44</f>
        <v>15088998</v>
      </c>
    </row>
    <row r="11" spans="1:10" ht="13.5" customHeight="1">
      <c r="A11" s="390" t="s">
        <v>904</v>
      </c>
      <c r="B11" s="390"/>
      <c r="C11" s="390"/>
      <c r="D11" s="390"/>
      <c r="E11" s="390"/>
      <c r="F11" s="390"/>
      <c r="G11" s="15">
        <v>3</v>
      </c>
      <c r="H11" s="16"/>
      <c r="I11" s="66">
        <f>SUM(I12:I17)</f>
        <v>645081</v>
      </c>
      <c r="J11" s="66">
        <f>SUM(J12:J17)</f>
        <v>574153</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1917</v>
      </c>
      <c r="J13" s="67">
        <v>33487</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v>643164</v>
      </c>
      <c r="J17" s="67">
        <v>540666</v>
      </c>
    </row>
    <row r="18" spans="1:10" ht="13.5" customHeight="1">
      <c r="A18" s="390" t="s">
        <v>965</v>
      </c>
      <c r="B18" s="390"/>
      <c r="C18" s="390"/>
      <c r="D18" s="390"/>
      <c r="E18" s="390"/>
      <c r="F18" s="390"/>
      <c r="G18" s="15">
        <v>10</v>
      </c>
      <c r="H18" s="16"/>
      <c r="I18" s="66">
        <f>SUM(I19:I27)</f>
        <v>13414016</v>
      </c>
      <c r="J18" s="66">
        <f>SUM(J19:J27)</f>
        <v>12222969</v>
      </c>
    </row>
    <row r="19" spans="1:10" ht="13.5" customHeight="1">
      <c r="A19" s="387" t="s">
        <v>733</v>
      </c>
      <c r="B19" s="387"/>
      <c r="C19" s="387"/>
      <c r="D19" s="387"/>
      <c r="E19" s="387"/>
      <c r="F19" s="387"/>
      <c r="G19" s="15">
        <v>11</v>
      </c>
      <c r="H19" s="16"/>
      <c r="I19" s="67">
        <v>17722</v>
      </c>
      <c r="J19" s="67">
        <v>17722</v>
      </c>
    </row>
    <row r="20" spans="1:10" ht="13.5" customHeight="1">
      <c r="A20" s="387" t="s">
        <v>796</v>
      </c>
      <c r="B20" s="387"/>
      <c r="C20" s="387"/>
      <c r="D20" s="387"/>
      <c r="E20" s="387"/>
      <c r="F20" s="387"/>
      <c r="G20" s="15">
        <v>12</v>
      </c>
      <c r="H20" s="16"/>
      <c r="I20" s="67">
        <v>8782897</v>
      </c>
      <c r="J20" s="67">
        <v>7868563</v>
      </c>
    </row>
    <row r="21" spans="1:10" ht="13.5" customHeight="1">
      <c r="A21" s="387" t="s">
        <v>734</v>
      </c>
      <c r="B21" s="387"/>
      <c r="C21" s="387"/>
      <c r="D21" s="387"/>
      <c r="E21" s="387"/>
      <c r="F21" s="387"/>
      <c r="G21" s="15">
        <v>13</v>
      </c>
      <c r="H21" s="16"/>
      <c r="I21" s="67">
        <v>401318</v>
      </c>
      <c r="J21" s="67">
        <v>374467</v>
      </c>
    </row>
    <row r="22" spans="1:10" ht="13.5" customHeight="1">
      <c r="A22" s="387" t="s">
        <v>405</v>
      </c>
      <c r="B22" s="387"/>
      <c r="C22" s="387"/>
      <c r="D22" s="387"/>
      <c r="E22" s="387"/>
      <c r="F22" s="387"/>
      <c r="G22" s="15">
        <v>14</v>
      </c>
      <c r="H22" s="16"/>
      <c r="I22" s="67">
        <v>3248264</v>
      </c>
      <c r="J22" s="67">
        <v>2875966</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963815</v>
      </c>
      <c r="J25" s="67">
        <v>1086251</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2291876</v>
      </c>
      <c r="J28" s="66">
        <f>SUM(J29:J38)</f>
        <v>2291876</v>
      </c>
    </row>
    <row r="29" spans="1:10" ht="13.5" customHeight="1">
      <c r="A29" s="387" t="s">
        <v>705</v>
      </c>
      <c r="B29" s="387"/>
      <c r="C29" s="387"/>
      <c r="D29" s="387"/>
      <c r="E29" s="387"/>
      <c r="F29" s="387"/>
      <c r="G29" s="15">
        <v>21</v>
      </c>
      <c r="H29" s="16"/>
      <c r="I29" s="67">
        <v>2291876</v>
      </c>
      <c r="J29" s="67">
        <v>2291876</v>
      </c>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10008789</v>
      </c>
      <c r="J45" s="66">
        <f>J46+J54+J61+J71</f>
        <v>9518822</v>
      </c>
    </row>
    <row r="46" spans="1:10" ht="13.5" customHeight="1">
      <c r="A46" s="390" t="s">
        <v>1264</v>
      </c>
      <c r="B46" s="390"/>
      <c r="C46" s="390"/>
      <c r="D46" s="390"/>
      <c r="E46" s="390"/>
      <c r="F46" s="390"/>
      <c r="G46" s="15">
        <v>38</v>
      </c>
      <c r="H46" s="16"/>
      <c r="I46" s="66">
        <f>SUM(I47:I53)</f>
        <v>348661</v>
      </c>
      <c r="J46" s="66">
        <f>SUM(J47:J53)</f>
        <v>466952</v>
      </c>
    </row>
    <row r="47" spans="1:10" ht="13.5" customHeight="1">
      <c r="A47" s="387" t="s">
        <v>1892</v>
      </c>
      <c r="B47" s="387"/>
      <c r="C47" s="387"/>
      <c r="D47" s="387"/>
      <c r="E47" s="387"/>
      <c r="F47" s="387"/>
      <c r="G47" s="15">
        <v>39</v>
      </c>
      <c r="H47" s="16"/>
      <c r="I47" s="67">
        <v>234938</v>
      </c>
      <c r="J47" s="67">
        <v>385566</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v>113723</v>
      </c>
      <c r="J50" s="67">
        <v>81386</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3184126</v>
      </c>
      <c r="J54" s="66">
        <f>SUM(J55:J60)</f>
        <v>3577906</v>
      </c>
    </row>
    <row r="55" spans="1:10" ht="13.5" customHeight="1">
      <c r="A55" s="387" t="s">
        <v>2007</v>
      </c>
      <c r="B55" s="387"/>
      <c r="C55" s="387"/>
      <c r="D55" s="387"/>
      <c r="E55" s="387"/>
      <c r="F55" s="387"/>
      <c r="G55" s="15">
        <v>47</v>
      </c>
      <c r="H55" s="16"/>
      <c r="I55" s="67">
        <v>74481</v>
      </c>
      <c r="J55" s="67">
        <v>47043</v>
      </c>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2960284</v>
      </c>
      <c r="J57" s="67">
        <v>3330723</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147945</v>
      </c>
      <c r="J59" s="67">
        <v>189636</v>
      </c>
    </row>
    <row r="60" spans="1:10" ht="13.5" customHeight="1">
      <c r="A60" s="387" t="s">
        <v>1255</v>
      </c>
      <c r="B60" s="387"/>
      <c r="C60" s="387"/>
      <c r="D60" s="387"/>
      <c r="E60" s="387"/>
      <c r="F60" s="387"/>
      <c r="G60" s="15">
        <v>52</v>
      </c>
      <c r="H60" s="16"/>
      <c r="I60" s="67">
        <v>1416</v>
      </c>
      <c r="J60" s="67">
        <v>10504</v>
      </c>
    </row>
    <row r="61" spans="1:10" ht="13.5" customHeight="1">
      <c r="A61" s="390" t="s">
        <v>1266</v>
      </c>
      <c r="B61" s="390"/>
      <c r="C61" s="390"/>
      <c r="D61" s="390"/>
      <c r="E61" s="390"/>
      <c r="F61" s="390"/>
      <c r="G61" s="15">
        <v>53</v>
      </c>
      <c r="H61" s="16"/>
      <c r="I61" s="66">
        <f>SUM(I62:I70)</f>
        <v>522289</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522289</v>
      </c>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5953713</v>
      </c>
      <c r="J71" s="67">
        <v>5473964</v>
      </c>
    </row>
    <row r="72" spans="1:10" ht="24.75" customHeight="1">
      <c r="A72" s="385" t="s">
        <v>591</v>
      </c>
      <c r="B72" s="385"/>
      <c r="C72" s="385"/>
      <c r="D72" s="385"/>
      <c r="E72" s="385"/>
      <c r="F72" s="385"/>
      <c r="G72" s="15">
        <v>64</v>
      </c>
      <c r="H72" s="16"/>
      <c r="I72" s="67">
        <v>31178</v>
      </c>
      <c r="J72" s="67">
        <v>185835</v>
      </c>
    </row>
    <row r="73" spans="1:10" ht="13.5" customHeight="1">
      <c r="A73" s="385" t="s">
        <v>1267</v>
      </c>
      <c r="B73" s="385"/>
      <c r="C73" s="385"/>
      <c r="D73" s="385"/>
      <c r="E73" s="385"/>
      <c r="F73" s="385"/>
      <c r="G73" s="15">
        <v>65</v>
      </c>
      <c r="H73" s="16"/>
      <c r="I73" s="66">
        <f>I9+I10+I45+I72</f>
        <v>26390940</v>
      </c>
      <c r="J73" s="66">
        <f>J9+J10+J45+J72</f>
        <v>24793655</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14337293</v>
      </c>
      <c r="J76" s="66">
        <f>J77+J78+J79+J85+J86+J92+J95+J98</f>
        <v>14436664</v>
      </c>
      <c r="L76" s="2" t="s">
        <v>1209</v>
      </c>
    </row>
    <row r="77" spans="1:10" ht="13.5" customHeight="1">
      <c r="A77" s="390" t="s">
        <v>1857</v>
      </c>
      <c r="B77" s="390"/>
      <c r="C77" s="390"/>
      <c r="D77" s="390"/>
      <c r="E77" s="390"/>
      <c r="F77" s="390"/>
      <c r="G77" s="15">
        <v>68</v>
      </c>
      <c r="H77" s="16"/>
      <c r="I77" s="67">
        <v>10512810</v>
      </c>
      <c r="J77" s="67">
        <v>10512810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2964363</v>
      </c>
      <c r="J79" s="66">
        <f>J80+J81-J82+J83+J84</f>
        <v>2967839</v>
      </c>
      <c r="L79" s="2" t="s">
        <v>1209</v>
      </c>
    </row>
    <row r="80" spans="1:12" ht="13.5" customHeight="1">
      <c r="A80" s="387" t="s">
        <v>1258</v>
      </c>
      <c r="B80" s="387"/>
      <c r="C80" s="387"/>
      <c r="D80" s="387"/>
      <c r="E80" s="387"/>
      <c r="F80" s="387"/>
      <c r="G80" s="15">
        <v>71</v>
      </c>
      <c r="H80" s="16"/>
      <c r="I80" s="67">
        <v>68169</v>
      </c>
      <c r="J80" s="67">
        <v>71645</v>
      </c>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v>2896194</v>
      </c>
      <c r="J84" s="67">
        <v>2896194</v>
      </c>
      <c r="L84" s="2" t="s">
        <v>1209</v>
      </c>
    </row>
    <row r="85" spans="1:12" ht="13.5" customHeight="1">
      <c r="A85" s="390" t="s">
        <v>2405</v>
      </c>
      <c r="B85" s="390"/>
      <c r="C85" s="390"/>
      <c r="D85" s="390"/>
      <c r="E85" s="390"/>
      <c r="F85" s="390"/>
      <c r="G85" s="15">
        <v>76</v>
      </c>
      <c r="H85" s="16"/>
      <c r="I85" s="67">
        <v>348367</v>
      </c>
      <c r="J85" s="67">
        <v>348367</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442222</v>
      </c>
      <c r="J92" s="66">
        <f>J93-J94</f>
        <v>508277</v>
      </c>
      <c r="L92" s="2" t="s">
        <v>1209</v>
      </c>
    </row>
    <row r="93" spans="1:10" ht="13.5" customHeight="1">
      <c r="A93" s="387" t="s">
        <v>2830</v>
      </c>
      <c r="B93" s="387"/>
      <c r="C93" s="387"/>
      <c r="D93" s="387"/>
      <c r="E93" s="387"/>
      <c r="F93" s="387"/>
      <c r="G93" s="15">
        <v>84</v>
      </c>
      <c r="H93" s="16"/>
      <c r="I93" s="67">
        <v>442222</v>
      </c>
      <c r="J93" s="67">
        <v>508277</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69531</v>
      </c>
      <c r="J95" s="66">
        <f>J96-J97</f>
        <v>99371</v>
      </c>
      <c r="L95" s="2" t="s">
        <v>1209</v>
      </c>
    </row>
    <row r="96" spans="1:10" ht="13.5" customHeight="1">
      <c r="A96" s="387" t="s">
        <v>1257</v>
      </c>
      <c r="B96" s="387"/>
      <c r="C96" s="387"/>
      <c r="D96" s="387"/>
      <c r="E96" s="387"/>
      <c r="F96" s="387"/>
      <c r="G96" s="15">
        <v>87</v>
      </c>
      <c r="H96" s="16"/>
      <c r="I96" s="67">
        <v>69531</v>
      </c>
      <c r="J96" s="67">
        <v>99371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520160</v>
      </c>
      <c r="J99" s="66">
        <f>SUM(J100:J105)</f>
        <v>673296</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v>520160</v>
      </c>
      <c r="J105" s="67">
        <v>673296</v>
      </c>
    </row>
    <row r="106" spans="1:10" ht="13.5" customHeight="1">
      <c r="A106" s="385" t="s">
        <v>2489</v>
      </c>
      <c r="B106" s="385"/>
      <c r="C106" s="385"/>
      <c r="D106" s="385"/>
      <c r="E106" s="385"/>
      <c r="F106" s="385"/>
      <c r="G106" s="15">
        <v>97</v>
      </c>
      <c r="H106" s="16"/>
      <c r="I106" s="66">
        <f>SUM(I107:I117)</f>
        <v>142675</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142675</v>
      </c>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2604245</v>
      </c>
      <c r="J118" s="66">
        <f>SUM(J119:J132)</f>
        <v>2173413</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v>46911</v>
      </c>
    </row>
    <row r="124" spans="1:10" ht="13.5" customHeight="1">
      <c r="A124" s="387" t="s">
        <v>2021</v>
      </c>
      <c r="B124" s="387"/>
      <c r="C124" s="387"/>
      <c r="D124" s="387"/>
      <c r="E124" s="387"/>
      <c r="F124" s="387"/>
      <c r="G124" s="15">
        <v>115</v>
      </c>
      <c r="H124" s="16"/>
      <c r="I124" s="67">
        <v>225066</v>
      </c>
      <c r="J124" s="67">
        <v>142675</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1373784</v>
      </c>
      <c r="J126" s="67">
        <v>795484</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579080</v>
      </c>
      <c r="J128" s="67">
        <v>577067</v>
      </c>
    </row>
    <row r="129" spans="1:10" ht="13.5" customHeight="1">
      <c r="A129" s="387" t="s">
        <v>2023</v>
      </c>
      <c r="B129" s="387"/>
      <c r="C129" s="387"/>
      <c r="D129" s="387"/>
      <c r="E129" s="387"/>
      <c r="F129" s="387"/>
      <c r="G129" s="15">
        <v>120</v>
      </c>
      <c r="H129" s="16"/>
      <c r="I129" s="67">
        <v>406416</v>
      </c>
      <c r="J129" s="67">
        <v>592976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19899</v>
      </c>
      <c r="J132" s="67">
        <v>18300</v>
      </c>
    </row>
    <row r="133" spans="1:10" ht="24.75" customHeight="1">
      <c r="A133" s="385" t="s">
        <v>593</v>
      </c>
      <c r="B133" s="385"/>
      <c r="C133" s="385"/>
      <c r="D133" s="385"/>
      <c r="E133" s="385"/>
      <c r="F133" s="385"/>
      <c r="G133" s="15">
        <v>124</v>
      </c>
      <c r="H133" s="16"/>
      <c r="I133" s="67">
        <v>8786567</v>
      </c>
      <c r="J133" s="67">
        <v>7510282</v>
      </c>
    </row>
    <row r="134" spans="1:10" ht="13.5" customHeight="1">
      <c r="A134" s="385" t="s">
        <v>360</v>
      </c>
      <c r="B134" s="385"/>
      <c r="C134" s="385"/>
      <c r="D134" s="385"/>
      <c r="E134" s="385"/>
      <c r="F134" s="385"/>
      <c r="G134" s="15">
        <v>125</v>
      </c>
      <c r="H134" s="16"/>
      <c r="I134" s="66">
        <f>I76+I99+I106+I118+I133</f>
        <v>26390940</v>
      </c>
      <c r="J134" s="66">
        <f>J76+J99+J106+J118+J133</f>
        <v>24793655</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31407797858; IVKOM D.D.</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17759097</v>
      </c>
      <c r="J8" s="80">
        <f>SUM(J9:J13)</f>
        <v>19662970</v>
      </c>
      <c r="Q8" s="2">
        <f>IF(OR(MIN(I70:J75)&lt;&gt;0,MAX(I70:J75)&lt;&gt;0),1,0)</f>
        <v>0</v>
      </c>
      <c r="R8" s="69" t="s">
        <v>1215</v>
      </c>
    </row>
    <row r="9" spans="1:10" s="2" customFormat="1" ht="14.25" customHeight="1">
      <c r="A9" s="387" t="s">
        <v>347</v>
      </c>
      <c r="B9" s="387"/>
      <c r="C9" s="387"/>
      <c r="D9" s="387"/>
      <c r="E9" s="387"/>
      <c r="F9" s="387"/>
      <c r="G9" s="15">
        <v>128</v>
      </c>
      <c r="H9" s="16"/>
      <c r="I9" s="67">
        <v>193967</v>
      </c>
      <c r="J9" s="67">
        <v>181364</v>
      </c>
    </row>
    <row r="10" spans="1:10" s="2" customFormat="1" ht="14.25" customHeight="1">
      <c r="A10" s="387" t="s">
        <v>964</v>
      </c>
      <c r="B10" s="387"/>
      <c r="C10" s="387"/>
      <c r="D10" s="387"/>
      <c r="E10" s="387"/>
      <c r="F10" s="387"/>
      <c r="G10" s="15">
        <v>129</v>
      </c>
      <c r="H10" s="16"/>
      <c r="I10" s="67">
        <v>15787186</v>
      </c>
      <c r="J10" s="67">
        <v>17551391</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1777944</v>
      </c>
      <c r="J13" s="67">
        <v>1930215</v>
      </c>
    </row>
    <row r="14" spans="1:10" s="2" customFormat="1" ht="14.25" customHeight="1">
      <c r="A14" s="385" t="s">
        <v>2492</v>
      </c>
      <c r="B14" s="385"/>
      <c r="C14" s="385"/>
      <c r="D14" s="385"/>
      <c r="E14" s="385"/>
      <c r="F14" s="385"/>
      <c r="G14" s="15">
        <v>133</v>
      </c>
      <c r="H14" s="16"/>
      <c r="I14" s="66">
        <f>I15+I16+I20+I24+I25+I26+I29+I36</f>
        <v>17802379</v>
      </c>
      <c r="J14" s="66">
        <f>J15+J16+J20+J24+J25+J26+J29+J36</f>
        <v>19634994</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5333531</v>
      </c>
      <c r="J16" s="66">
        <f>SUM(J17:J19)</f>
        <v>5076828</v>
      </c>
    </row>
    <row r="17" spans="1:10" s="2" customFormat="1" ht="14.25" customHeight="1">
      <c r="A17" s="413" t="s">
        <v>1273</v>
      </c>
      <c r="B17" s="413"/>
      <c r="C17" s="413"/>
      <c r="D17" s="413"/>
      <c r="E17" s="413"/>
      <c r="F17" s="413"/>
      <c r="G17" s="15">
        <v>136</v>
      </c>
      <c r="H17" s="16"/>
      <c r="I17" s="67">
        <v>2374506</v>
      </c>
      <c r="J17" s="67">
        <v>2383747</v>
      </c>
    </row>
    <row r="18" spans="1:10" s="2" customFormat="1" ht="14.25" customHeight="1">
      <c r="A18" s="413" t="s">
        <v>1274</v>
      </c>
      <c r="B18" s="413"/>
      <c r="C18" s="413"/>
      <c r="D18" s="413"/>
      <c r="E18" s="413"/>
      <c r="F18" s="413"/>
      <c r="G18" s="15">
        <v>137</v>
      </c>
      <c r="H18" s="16"/>
      <c r="I18" s="67">
        <v>510299</v>
      </c>
      <c r="J18" s="67">
        <v>391658</v>
      </c>
    </row>
    <row r="19" spans="1:10" s="2" customFormat="1" ht="14.25" customHeight="1">
      <c r="A19" s="413" t="s">
        <v>2959</v>
      </c>
      <c r="B19" s="413"/>
      <c r="C19" s="413"/>
      <c r="D19" s="413"/>
      <c r="E19" s="413"/>
      <c r="F19" s="413"/>
      <c r="G19" s="15">
        <v>138</v>
      </c>
      <c r="H19" s="16"/>
      <c r="I19" s="67">
        <v>2448726</v>
      </c>
      <c r="J19" s="67">
        <v>2301423</v>
      </c>
    </row>
    <row r="20" spans="1:10" s="2" customFormat="1" ht="14.25" customHeight="1">
      <c r="A20" s="387" t="s">
        <v>2494</v>
      </c>
      <c r="B20" s="387"/>
      <c r="C20" s="387"/>
      <c r="D20" s="387"/>
      <c r="E20" s="387"/>
      <c r="F20" s="387"/>
      <c r="G20" s="15">
        <v>139</v>
      </c>
      <c r="H20" s="16"/>
      <c r="I20" s="66">
        <f>SUM(I21:I23)</f>
        <v>7617113</v>
      </c>
      <c r="J20" s="66">
        <f>SUM(J21:J23)</f>
        <v>8686380</v>
      </c>
    </row>
    <row r="21" spans="1:10" s="2" customFormat="1" ht="14.25" customHeight="1">
      <c r="A21" s="413" t="s">
        <v>960</v>
      </c>
      <c r="B21" s="413"/>
      <c r="C21" s="413"/>
      <c r="D21" s="413"/>
      <c r="E21" s="413"/>
      <c r="F21" s="413"/>
      <c r="G21" s="15">
        <v>140</v>
      </c>
      <c r="H21" s="16"/>
      <c r="I21" s="67">
        <v>4943609</v>
      </c>
      <c r="J21" s="67">
        <v>5620552</v>
      </c>
    </row>
    <row r="22" spans="1:10" s="2" customFormat="1" ht="14.25" customHeight="1">
      <c r="A22" s="413" t="s">
        <v>1883</v>
      </c>
      <c r="B22" s="413"/>
      <c r="C22" s="413"/>
      <c r="D22" s="413"/>
      <c r="E22" s="413"/>
      <c r="F22" s="413"/>
      <c r="G22" s="15">
        <v>141</v>
      </c>
      <c r="H22" s="16"/>
      <c r="I22" s="67">
        <v>1555327</v>
      </c>
      <c r="J22" s="67">
        <v>1866985</v>
      </c>
    </row>
    <row r="23" spans="1:10" s="2" customFormat="1" ht="14.25" customHeight="1">
      <c r="A23" s="413" t="s">
        <v>1884</v>
      </c>
      <c r="B23" s="413"/>
      <c r="C23" s="413"/>
      <c r="D23" s="413"/>
      <c r="E23" s="413"/>
      <c r="F23" s="413"/>
      <c r="G23" s="15">
        <v>142</v>
      </c>
      <c r="H23" s="16"/>
      <c r="I23" s="67">
        <v>1118177</v>
      </c>
      <c r="J23" s="67">
        <v>1198843</v>
      </c>
    </row>
    <row r="24" spans="1:10" s="2" customFormat="1" ht="14.25" customHeight="1">
      <c r="A24" s="387" t="s">
        <v>1006</v>
      </c>
      <c r="B24" s="387"/>
      <c r="C24" s="387"/>
      <c r="D24" s="387"/>
      <c r="E24" s="387"/>
      <c r="F24" s="387"/>
      <c r="G24" s="15">
        <v>143</v>
      </c>
      <c r="H24" s="16"/>
      <c r="I24" s="67">
        <v>2117768</v>
      </c>
      <c r="J24" s="67">
        <v>2371383</v>
      </c>
    </row>
    <row r="25" spans="1:10" s="2" customFormat="1" ht="14.25" customHeight="1">
      <c r="A25" s="387" t="s">
        <v>1007</v>
      </c>
      <c r="B25" s="387"/>
      <c r="C25" s="387"/>
      <c r="D25" s="387"/>
      <c r="E25" s="387"/>
      <c r="F25" s="387"/>
      <c r="G25" s="15">
        <v>144</v>
      </c>
      <c r="H25" s="16"/>
      <c r="I25" s="67">
        <v>2470298</v>
      </c>
      <c r="J25" s="67">
        <v>2611094</v>
      </c>
    </row>
    <row r="26" spans="1:12" s="2" customFormat="1" ht="14.25" customHeight="1">
      <c r="A26" s="387" t="s">
        <v>2495</v>
      </c>
      <c r="B26" s="387"/>
      <c r="C26" s="387"/>
      <c r="D26" s="387"/>
      <c r="E26" s="387"/>
      <c r="F26" s="387"/>
      <c r="G26" s="15">
        <v>145</v>
      </c>
      <c r="H26" s="16"/>
      <c r="I26" s="66">
        <f>SUM(I27:I28)</f>
        <v>235503</v>
      </c>
      <c r="J26" s="66">
        <f>SUM(J27:J28)</f>
        <v>238902</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235503</v>
      </c>
      <c r="J28" s="67">
        <v>238902</v>
      </c>
      <c r="L28" s="2" t="s">
        <v>1209</v>
      </c>
    </row>
    <row r="29" spans="1:12" s="2" customFormat="1" ht="14.25" customHeight="1">
      <c r="A29" s="387" t="s">
        <v>2496</v>
      </c>
      <c r="B29" s="387"/>
      <c r="C29" s="387"/>
      <c r="D29" s="387"/>
      <c r="E29" s="387"/>
      <c r="F29" s="387"/>
      <c r="G29" s="15">
        <v>148</v>
      </c>
      <c r="H29" s="16"/>
      <c r="I29" s="66">
        <f>SUM(I30:I35)</f>
        <v>0</v>
      </c>
      <c r="J29" s="66">
        <f>SUM(J30:J35)</f>
        <v>551086</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v>551086</v>
      </c>
      <c r="L35" s="2" t="s">
        <v>1209</v>
      </c>
    </row>
    <row r="36" spans="1:10" s="2" customFormat="1" ht="14.25" customHeight="1">
      <c r="A36" s="387" t="s">
        <v>147</v>
      </c>
      <c r="B36" s="387"/>
      <c r="C36" s="387"/>
      <c r="D36" s="387"/>
      <c r="E36" s="387"/>
      <c r="F36" s="387"/>
      <c r="G36" s="15">
        <v>155</v>
      </c>
      <c r="H36" s="16"/>
      <c r="I36" s="67">
        <v>28166</v>
      </c>
      <c r="J36" s="67">
        <v>99321</v>
      </c>
    </row>
    <row r="37" spans="1:10" s="2" customFormat="1" ht="14.25" customHeight="1">
      <c r="A37" s="385" t="s">
        <v>2497</v>
      </c>
      <c r="B37" s="385"/>
      <c r="C37" s="385"/>
      <c r="D37" s="385"/>
      <c r="E37" s="385"/>
      <c r="F37" s="385"/>
      <c r="G37" s="15">
        <v>156</v>
      </c>
      <c r="H37" s="16"/>
      <c r="I37" s="66">
        <f>SUM(I38:I47)</f>
        <v>127016</v>
      </c>
      <c r="J37" s="66">
        <f>SUM(J38:J47)</f>
        <v>127603</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126872</v>
      </c>
      <c r="J44" s="67">
        <v>127441</v>
      </c>
    </row>
    <row r="45" spans="1:10" s="2" customFormat="1" ht="14.25" customHeight="1">
      <c r="A45" s="387" t="s">
        <v>2961</v>
      </c>
      <c r="B45" s="387"/>
      <c r="C45" s="387"/>
      <c r="D45" s="387"/>
      <c r="E45" s="387"/>
      <c r="F45" s="387"/>
      <c r="G45" s="15">
        <v>164</v>
      </c>
      <c r="H45" s="16"/>
      <c r="I45" s="67">
        <v>144</v>
      </c>
      <c r="J45" s="67">
        <v>162</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14203</v>
      </c>
      <c r="J48" s="66">
        <f>SUM(J49:J55)</f>
        <v>7981</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14165</v>
      </c>
      <c r="J51" s="67">
        <v>7981</v>
      </c>
    </row>
    <row r="52" spans="1:10" s="2" customFormat="1" ht="14.25" customHeight="1">
      <c r="A52" s="408" t="s">
        <v>1090</v>
      </c>
      <c r="B52" s="408"/>
      <c r="C52" s="408"/>
      <c r="D52" s="408"/>
      <c r="E52" s="408"/>
      <c r="F52" s="408"/>
      <c r="G52" s="15">
        <v>171</v>
      </c>
      <c r="H52" s="16"/>
      <c r="I52" s="67">
        <v>38</v>
      </c>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17886113</v>
      </c>
      <c r="J60" s="66">
        <f>J8+J37+J56+J57</f>
        <v>19790573</v>
      </c>
    </row>
    <row r="61" spans="1:10" s="2" customFormat="1" ht="14.25" customHeight="1">
      <c r="A61" s="385" t="s">
        <v>2500</v>
      </c>
      <c r="B61" s="385"/>
      <c r="C61" s="385"/>
      <c r="D61" s="385"/>
      <c r="E61" s="385"/>
      <c r="F61" s="385"/>
      <c r="G61" s="15">
        <v>180</v>
      </c>
      <c r="H61" s="16"/>
      <c r="I61" s="66">
        <f>I14+I48+I58+I59</f>
        <v>17816582</v>
      </c>
      <c r="J61" s="66">
        <f>J14+J48+J58+J59</f>
        <v>19642975</v>
      </c>
    </row>
    <row r="62" spans="1:12" s="2" customFormat="1" ht="14.25" customHeight="1">
      <c r="A62" s="385" t="s">
        <v>2501</v>
      </c>
      <c r="B62" s="385"/>
      <c r="C62" s="385"/>
      <c r="D62" s="385"/>
      <c r="E62" s="385"/>
      <c r="F62" s="385"/>
      <c r="G62" s="15">
        <v>181</v>
      </c>
      <c r="H62" s="16"/>
      <c r="I62" s="66">
        <f>I60-I61</f>
        <v>69531</v>
      </c>
      <c r="J62" s="66">
        <f>J60-J61</f>
        <v>147598</v>
      </c>
      <c r="L62" s="2" t="s">
        <v>1209</v>
      </c>
    </row>
    <row r="63" spans="1:10" s="2" customFormat="1" ht="14.25" customHeight="1">
      <c r="A63" s="408" t="s">
        <v>2502</v>
      </c>
      <c r="B63" s="408"/>
      <c r="C63" s="408"/>
      <c r="D63" s="408"/>
      <c r="E63" s="408"/>
      <c r="F63" s="408"/>
      <c r="G63" s="15">
        <v>182</v>
      </c>
      <c r="H63" s="16"/>
      <c r="I63" s="66">
        <f>IF(I60&gt;I61,I60-I61,0)</f>
        <v>69531</v>
      </c>
      <c r="J63" s="66">
        <f>IF(J60&gt;J61,J60-J61,0)</f>
        <v>147598</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v>48227</v>
      </c>
      <c r="L65" s="2" t="s">
        <v>1209</v>
      </c>
    </row>
    <row r="66" spans="1:12" s="2" customFormat="1" ht="14.25" customHeight="1">
      <c r="A66" s="385" t="s">
        <v>2504</v>
      </c>
      <c r="B66" s="385"/>
      <c r="C66" s="385"/>
      <c r="D66" s="385"/>
      <c r="E66" s="385"/>
      <c r="F66" s="385"/>
      <c r="G66" s="15">
        <v>185</v>
      </c>
      <c r="H66" s="16"/>
      <c r="I66" s="66">
        <f>I62-I65</f>
        <v>69531</v>
      </c>
      <c r="J66" s="66">
        <f>J62-J65</f>
        <v>99371</v>
      </c>
      <c r="L66" s="2" t="s">
        <v>1209</v>
      </c>
    </row>
    <row r="67" spans="1:10" s="2" customFormat="1" ht="14.25" customHeight="1">
      <c r="A67" s="408" t="s">
        <v>2505</v>
      </c>
      <c r="B67" s="408"/>
      <c r="C67" s="408"/>
      <c r="D67" s="408"/>
      <c r="E67" s="408"/>
      <c r="F67" s="408"/>
      <c r="G67" s="15">
        <v>186</v>
      </c>
      <c r="H67" s="16"/>
      <c r="I67" s="66">
        <f>IF(I66&gt;0,I66,0)</f>
        <v>69531</v>
      </c>
      <c r="J67" s="66">
        <f>IF(J66&gt;0,J66,0)</f>
        <v>99371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 activePane="bottomLeft" state="frozen"/>
      <selection pane="topLeft" activeCell="A1" sqref="A1"/>
      <selection pane="bottomLeft" activeCell="J1" sqref="J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31407797858; IVKOM D.D.</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v>23414</v>
      </c>
      <c r="J9" s="89">
        <v>155255</v>
      </c>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v>193967</v>
      </c>
      <c r="J23" s="92">
        <v>181364</v>
      </c>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15787186</v>
      </c>
      <c r="J26" s="73">
        <v>17551391</v>
      </c>
    </row>
    <row r="27" spans="1:10" s="2" customFormat="1" ht="13.5" customHeight="1">
      <c r="A27" s="408" t="s">
        <v>1014</v>
      </c>
      <c r="B27" s="408"/>
      <c r="C27" s="408"/>
      <c r="D27" s="408"/>
      <c r="E27" s="408"/>
      <c r="F27" s="408"/>
      <c r="G27" s="447"/>
      <c r="H27" s="15">
        <v>243</v>
      </c>
      <c r="I27" s="73">
        <v>193967</v>
      </c>
      <c r="J27" s="73">
        <v>181364</v>
      </c>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v>1777944</v>
      </c>
      <c r="J35" s="74">
        <v>1930215</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15981153</v>
      </c>
      <c r="J37" s="90">
        <v>17732755</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863838</v>
      </c>
      <c r="J50" s="73">
        <v>1083179</v>
      </c>
    </row>
    <row r="51" spans="1:10" s="2" customFormat="1" ht="24.75" customHeight="1">
      <c r="A51" s="408" t="s">
        <v>2106</v>
      </c>
      <c r="B51" s="408"/>
      <c r="C51" s="408"/>
      <c r="D51" s="408"/>
      <c r="E51" s="408"/>
      <c r="F51" s="408"/>
      <c r="G51" s="447"/>
      <c r="H51" s="15">
        <v>263</v>
      </c>
      <c r="I51" s="73">
        <v>88996</v>
      </c>
      <c r="J51" s="73">
        <v>94552</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v>1481225</v>
      </c>
      <c r="J54" s="73">
        <v>1487367</v>
      </c>
    </row>
    <row r="55" spans="1:10" s="2" customFormat="1" ht="13.5" customHeight="1">
      <c r="A55" s="408" t="s">
        <v>2815</v>
      </c>
      <c r="B55" s="408"/>
      <c r="C55" s="408"/>
      <c r="D55" s="408"/>
      <c r="E55" s="408"/>
      <c r="F55" s="408"/>
      <c r="G55" s="447"/>
      <c r="H55" s="15">
        <v>267</v>
      </c>
      <c r="I55" s="73">
        <v>147087</v>
      </c>
      <c r="J55" s="73">
        <v>65929</v>
      </c>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87953</v>
      </c>
      <c r="J60" s="73">
        <v>95957</v>
      </c>
    </row>
    <row r="61" spans="1:10" s="2" customFormat="1" ht="13.5" customHeight="1">
      <c r="A61" s="448" t="s">
        <v>645</v>
      </c>
      <c r="B61" s="448"/>
      <c r="C61" s="448"/>
      <c r="D61" s="448"/>
      <c r="E61" s="448"/>
      <c r="F61" s="448"/>
      <c r="G61" s="449"/>
      <c r="H61" s="15">
        <v>273</v>
      </c>
      <c r="I61" s="73">
        <v>87953</v>
      </c>
      <c r="J61" s="73">
        <v>95957</v>
      </c>
    </row>
    <row r="62" spans="1:10" s="2" customFormat="1" ht="13.5" customHeight="1">
      <c r="A62" s="408" t="s">
        <v>2820</v>
      </c>
      <c r="B62" s="408"/>
      <c r="C62" s="408"/>
      <c r="D62" s="408"/>
      <c r="E62" s="408"/>
      <c r="F62" s="408"/>
      <c r="G62" s="447"/>
      <c r="H62" s="15">
        <v>274</v>
      </c>
      <c r="I62" s="73">
        <v>62170</v>
      </c>
      <c r="J62" s="73">
        <v>63931</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201851</v>
      </c>
      <c r="J64" s="73">
        <v>100823</v>
      </c>
    </row>
    <row r="65" spans="1:10" s="2" customFormat="1" ht="13.5" customHeight="1">
      <c r="A65" s="408" t="s">
        <v>642</v>
      </c>
      <c r="B65" s="408"/>
      <c r="C65" s="408"/>
      <c r="D65" s="408"/>
      <c r="E65" s="408"/>
      <c r="F65" s="408"/>
      <c r="G65" s="447"/>
      <c r="H65" s="15">
        <v>277</v>
      </c>
      <c r="I65" s="73">
        <v>699050</v>
      </c>
      <c r="J65" s="73">
        <v>912825</v>
      </c>
    </row>
    <row r="66" spans="1:10" s="2" customFormat="1" ht="13.5" customHeight="1">
      <c r="A66" s="448" t="s">
        <v>2658</v>
      </c>
      <c r="B66" s="448"/>
      <c r="C66" s="448"/>
      <c r="D66" s="448"/>
      <c r="E66" s="448"/>
      <c r="F66" s="448"/>
      <c r="G66" s="449"/>
      <c r="H66" s="15">
        <v>278</v>
      </c>
      <c r="I66" s="73">
        <v>24000</v>
      </c>
      <c r="J66" s="73">
        <v>20000</v>
      </c>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126872</v>
      </c>
      <c r="J73" s="90">
        <v>127441</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v>14165</v>
      </c>
      <c r="J76" s="74">
        <v>7981</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34728208</v>
      </c>
      <c r="J78" s="220">
        <f>SUM(J79:J82)</f>
        <v>35552969</v>
      </c>
    </row>
    <row r="79" spans="1:10" s="2" customFormat="1" ht="13.5" customHeight="1">
      <c r="A79" s="408" t="s">
        <v>1479</v>
      </c>
      <c r="B79" s="408"/>
      <c r="C79" s="408"/>
      <c r="D79" s="408"/>
      <c r="E79" s="408"/>
      <c r="F79" s="408"/>
      <c r="G79" s="447"/>
      <c r="H79" s="15">
        <v>289</v>
      </c>
      <c r="I79" s="73">
        <v>15586373</v>
      </c>
      <c r="J79" s="73">
        <v>15909126</v>
      </c>
    </row>
    <row r="80" spans="1:10" s="2" customFormat="1" ht="13.5" customHeight="1">
      <c r="A80" s="408" t="s">
        <v>1480</v>
      </c>
      <c r="B80" s="408"/>
      <c r="C80" s="408"/>
      <c r="D80" s="408"/>
      <c r="E80" s="408"/>
      <c r="F80" s="408"/>
      <c r="G80" s="447"/>
      <c r="H80" s="15">
        <v>290</v>
      </c>
      <c r="I80" s="73">
        <v>3813874</v>
      </c>
      <c r="J80" s="73">
        <v>3782222</v>
      </c>
    </row>
    <row r="81" spans="1:10" s="2" customFormat="1" ht="13.5" customHeight="1">
      <c r="A81" s="408" t="s">
        <v>201</v>
      </c>
      <c r="B81" s="408"/>
      <c r="C81" s="408"/>
      <c r="D81" s="408"/>
      <c r="E81" s="408"/>
      <c r="F81" s="408"/>
      <c r="G81" s="447"/>
      <c r="H81" s="15">
        <v>291</v>
      </c>
      <c r="I81" s="73">
        <v>12861849</v>
      </c>
      <c r="J81" s="73">
        <v>13354647</v>
      </c>
    </row>
    <row r="82" spans="1:10" s="2" customFormat="1" ht="36" customHeight="1">
      <c r="A82" s="408" t="s">
        <v>204</v>
      </c>
      <c r="B82" s="408"/>
      <c r="C82" s="408"/>
      <c r="D82" s="408"/>
      <c r="E82" s="408"/>
      <c r="F82" s="408"/>
      <c r="G82" s="447"/>
      <c r="H82" s="15">
        <v>292</v>
      </c>
      <c r="I82" s="73">
        <v>2466112</v>
      </c>
      <c r="J82" s="73">
        <v>2506974</v>
      </c>
    </row>
    <row r="83" spans="1:10" s="2" customFormat="1" ht="13.5" customHeight="1">
      <c r="A83" s="408" t="s">
        <v>202</v>
      </c>
      <c r="B83" s="408"/>
      <c r="C83" s="408"/>
      <c r="D83" s="408"/>
      <c r="E83" s="408"/>
      <c r="F83" s="408"/>
      <c r="G83" s="447"/>
      <c r="H83" s="15">
        <v>293</v>
      </c>
      <c r="I83" s="73">
        <v>17722</v>
      </c>
      <c r="J83" s="73">
        <v>17722</v>
      </c>
    </row>
    <row r="84" spans="1:10" s="2" customFormat="1" ht="13.5" customHeight="1">
      <c r="A84" s="408" t="s">
        <v>203</v>
      </c>
      <c r="B84" s="408"/>
      <c r="C84" s="408"/>
      <c r="D84" s="408"/>
      <c r="E84" s="408"/>
      <c r="F84" s="408"/>
      <c r="G84" s="447"/>
      <c r="H84" s="15">
        <v>294</v>
      </c>
      <c r="I84" s="73">
        <v>963816</v>
      </c>
      <c r="J84" s="73">
        <v>1086251</v>
      </c>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31407797858; IVKOM D.D.</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Maja Darabuš</cp:lastModifiedBy>
  <cp:lastPrinted>2023-04-25T07:23:41Z</cp:lastPrinted>
  <dcterms:created xsi:type="dcterms:W3CDTF">2008-10-17T11:51:54Z</dcterms:created>
  <dcterms:modified xsi:type="dcterms:W3CDTF">2023-07-06T07:05:37Z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