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<sst xmlns="http://schemas.openxmlformats.org/spreadsheetml/2006/main" count="3789" uniqueCount="2997">
  <si>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</si>
  <si>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</si>
  <si>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</si>
  <si>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</si>
  <si>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</si>
  <si>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</si>
  <si>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</si>
  <si>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</si>
  <si>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</si>
  <si>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</si>
  <si>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</si>
  <si>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</si>
  <si>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</si>
  <si>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</si>
  <si>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</si>
  <si>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</si>
  <si>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</si>
  <si>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</si>
  <si>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</si>
  <si>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</si>
  <si>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</si>
  <si>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</si>
  <si>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</si>
  <si>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</si>
  <si>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</si>
  <si>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</si>
  <si>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</si>
  <si>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</si>
  <si>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</si>
  <si>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</si>
  <si>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</si>
  <si>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</si>
  <si>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</si>
  <si>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</si>
  <si>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</si>
  <si>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</si>
  <si>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</si>
  <si>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</si>
  <si>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</si>
  <si>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</si>
  <si>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</si>
  <si>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</si>
  <si>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</si>
  <si>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</si>
  <si>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</si>
  <si>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</si>
  <si>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</si>
  <si>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</si>
  <si>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</si>
  <si>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</si>
  <si>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</si>
  <si>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</si>
  <si>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</si>
  <si>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</si>
  <si>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</si>
  <si>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</si>
  <si>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</si>
  <si>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</si>
  <si>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</si>
  <si>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</si>
  <si>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</si>
  <si>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</si>
  <si>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</si>
  <si>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</si>
  <si>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</si>
  <si>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</si>
  <si>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</si>
  <si>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</si>
  <si>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</si>
  <si>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</si>
  <si>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</si>
  <si>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</si>
  <si>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</si>
  <si>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</si>
  <si>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</si>
  <si>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</si>
  <si>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</si>
  <si>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</si>
  <si>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</si>
  <si>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</si>
  <si>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</si>
  <si>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</si>
  <si>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</si>
  <si>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</si>
  <si>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</si>
  <si>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</si>
  <si>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</si>
  <si>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</si>
  <si>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</si>
  <si>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</si>
  <si>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</si>
  <si>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</si>
  <si>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</si>
  <si>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</si>
  <si>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</si>
  <si>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</si>
  <si>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</si>
  <si>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</si>
  <si>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</si>
  <si>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</si>
  <si>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</si>
  <si>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</si>
  <si>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</si>
  <si>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</si>
  <si>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</si>
  <si>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</si>
  <si>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</si>
  <si>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</si>
  <si>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</si>
  <si>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</si>
  <si>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</si>
  <si>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</si>
  <si>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</si>
  <si>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</si>
  <si>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</si>
  <si>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</si>
  <si>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</si>
  <si>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</si>
  <si>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</si>
  <si>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</si>
  <si>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</si>
  <si>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</si>
  <si>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</si>
  <si>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</si>
  <si>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</si>
  <si>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</si>
  <si>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</si>
  <si>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</si>
  <si>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</si>
  <si>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</si>
  <si>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</si>
  <si>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</si>
  <si>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</si>
  <si>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</si>
  <si>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</si>
  <si>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</si>
  <si>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</si>
  <si>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</si>
  <si>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</si>
  <si>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</si>
  <si>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</si>
  <si>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</si>
  <si>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</si>
  <si>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</si>
  <si>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</si>
  <si>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</si>
  <si>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</si>
  <si>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</si>
  <si>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</si>
  <si>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</si>
  <si>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</si>
  <si>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</si>
  <si>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</si>
  <si>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</si>
  <si>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</si>
  <si>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</si>
  <si>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</si>
  <si>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</si>
  <si>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</si>
  <si>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</si>
  <si>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</si>
  <si>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</si>
  <si>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</si>
  <si>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</si>
  <si>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</si>
  <si>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</si>
  <si>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</si>
  <si>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</si>
  <si>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</si>
  <si>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</si>
  <si>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</si>
  <si>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</si>
  <si>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</si>
  <si>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</si>
  <si>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</si>
  <si>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</si>
  <si>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</si>
  <si>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</si>
  <si>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</si>
  <si>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</si>
  <si>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</si>
  <si>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</si>
  <si>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</si>
  <si>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</si>
  <si>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</si>
  <si>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</si>
  <si>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</si>
  <si>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</si>
  <si>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</si>
  <si>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</si>
  <si>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</si>
  <si>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</si>
  <si>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</si>
  <si>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</si>
  <si>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</si>
  <si>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</si>
  <si>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</si>
  <si>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</si>
  <si>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</si>
  <si>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</si>
  <si>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</si>
  <si>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</si>
  <si>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</si>
  <si>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</si>
  <si>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</si>
  <si>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</si>
  <si>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</si>
  <si>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</si>
  <si>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</si>
  <si>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</si>
  <si>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</si>
  <si>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</si>
  <si>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</si>
  <si>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</si>
  <si>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</si>
  <si>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</si>
  <si>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</si>
  <si>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</si>
  <si>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</si>
  <si>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</si>
  <si>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</si>
  <si>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</si>
  <si>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</si>
  <si>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</si>
  <si>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</si>
  <si>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</si>
  <si>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</si>
  <si>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</si>
  <si>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</si>
  <si>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</si>
  <si>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</si>
  <si>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</si>
  <si>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</si>
  <si>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</si>
  <si>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</si>
  <si>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</si>
  <si>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</si>
  <si>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</si>
  <si>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</si>
  <si>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</si>
  <si>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</si>
  <si>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</si>
  <si>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</si>
  <si>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</si>
  <si>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</si>
  <si>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</si>
  <si>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</si>
  <si>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</si>
  <si>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</si>
  <si>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</si>
  <si>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</si>
  <si>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</si>
  <si>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</si>
  <si>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</si>
  <si>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</si>
  <si>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</si>
  <si>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</si>
  <si>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</si>
  <si>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</si>
  <si>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</si>
  <si>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</si>
  <si>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</si>
  <si>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</si>
  <si>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</si>
  <si>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</si>
  <si>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</si>
  <si>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</si>
  <si>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</si>
  <si>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</si>
  <si>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</si>
  <si>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</si>
  <si>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</si>
  <si>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</si>
  <si>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</si>
  <si>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</si>
  <si>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</si>
  <si>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</si>
  <si>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</si>
  <si>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</si>
  <si>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</si>
  <si>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</si>
  <si>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</si>
  <si>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</si>
  <si>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</si>
  <si>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</si>
  <si>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</si>
  <si>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</si>
  <si>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</si>
  <si>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</si>
  <si>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</si>
  <si>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</si>
  <si>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</si>
  <si>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</si>
  <si>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</si>
  <si>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</si>
  <si>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</si>
  <si>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</si>
  <si>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</si>
  <si>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</si>
  <si>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</si>
  <si>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</si>
  <si>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</si>
  <si>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</si>
  <si>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</si>
  <si>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</si>
  <si>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</si>
  <si>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</si>
  <si>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</si>
  <si>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</si>
  <si>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</si>
  <si>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</si>
  <si>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</si>
  <si>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</si>
  <si>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</si>
  <si>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</si>
  <si>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</si>
  <si>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</si>
  <si>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</si>
  <si>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</si>
  <si>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</si>
  <si>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</si>
  <si>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</si>
  <si>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</si>
  <si>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</si>
  <si>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</si>
  <si>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</si>
  <si>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</si>
  <si>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</si>
  <si>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</si>
  <si>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</si>
  <si>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</si>
  <si>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</si>
  <si>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</si>
  <si>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</si>
  <si>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</si>
  <si>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</si>
  <si>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</si>
  <si>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</si>
  <si>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</si>
  <si>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</si>
  <si>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</si>
  <si>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</si>
  <si>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</si>
  <si>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</si>
  <si>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</si>
  <si>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</si>
  <si>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</si>
  <si>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</si>
  <si>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</si>
  <si>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</si>
  <si>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</si>
  <si>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</si>
  <si>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</si>
  <si>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</si>
  <si>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</si>
  <si>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</si>
  <si>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</si>
  <si>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</si>
  <si>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</si>
  <si>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</si>
  <si>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</si>
  <si>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</si>
  <si>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</si>
  <si>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</si>
  <si>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</si>
  <si>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</si>
  <si>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</si>
  <si>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</si>
  <si>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</si>
  <si>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</si>
  <si>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</si>
  <si>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</si>
  <si>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</si>
  <si>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</si>
  <si>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</si>
  <si>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</si>
  <si>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</si>
  <si>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</si>
  <si>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</si>
  <si>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</si>
  <si>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</si>
  <si>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</si>
  <si>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</si>
  <si>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</si>
  <si>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</si>
  <si>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</si>
  <si>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</si>
  <si>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</si>
  <si>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</si>
  <si>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</si>
  <si>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</si>
  <si>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</si>
  <si>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</si>
  <si>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</si>
  <si>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</si>
  <si>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</si>
  <si>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</si>
  <si>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</si>
  <si>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</si>
  <si>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</si>
  <si>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</si>
  <si>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</si>
  <si>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</si>
  <si>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</si>
  <si>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</si>
  <si>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</si>
  <si>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</si>
  <si>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</si>
  <si>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</si>
  <si>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</si>
  <si>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</si>
  <si>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</si>
  <si>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</si>
  <si>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</si>
  <si>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</si>
  <si>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</si>
  <si>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</si>
  <si>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</si>
  <si>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</si>
  <si>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</si>
  <si>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</si>
  <si>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</si>
  <si>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</si>
  <si>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</si>
  <si>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</si>
  <si>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</si>
  <si>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</si>
  <si>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</si>
  <si>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</si>
  <si>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</si>
  <si>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</si>
  <si>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</si>
  <si>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</si>
  <si>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</si>
  <si>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</si>
  <si>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</si>
  <si>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</si>
  <si>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</si>
  <si>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</si>
  <si>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</si>
  <si>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</si>
  <si>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</si>
  <si>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</si>
  <si>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</si>
  <si>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</si>
  <si>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</si>
  <si>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</si>
  <si>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</si>
  <si>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</si>
  <si>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</si>
  <si>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</si>
  <si>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</si>
  <si>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</si>
  <si>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</si>
  <si>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</si>
  <si>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</si>
  <si>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</si>
  <si>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</si>
  <si>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</si>
  <si>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</si>
  <si>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</si>
  <si>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</si>
  <si>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</si>
  <si>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</si>
  <si>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</si>
  <si>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</si>
  <si>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</si>
  <si>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</si>
  <si>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</si>
  <si>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</si>
  <si>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</si>
  <si>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</si>
  <si>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</si>
  <si>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</si>
  <si>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</si>
  <si>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</si>
  <si>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</si>
  <si>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</si>
  <si>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</si>
  <si>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</si>
  <si>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</si>
  <si>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</si>
  <si>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</si>
  <si>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</si>
  <si>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</si>
  <si>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</si>
  <si>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</si>
  <si>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</si>
  <si>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</si>
  <si>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</si>
  <si>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</si>
  <si>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</si>
  <si>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</si>
  <si>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</si>
  <si>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</si>
  <si>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</si>
  <si>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</si>
  <si>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</si>
  <si>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</si>
  <si>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</si>
  <si>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</si>
  <si>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</si>
  <si>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</si>
  <si>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</si>
  <si>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</si>
  <si>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</si>
  <si>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</si>
  <si>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</si>
  <si>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</si>
  <si>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</si>
  <si>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</si>
  <si>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</si>
  <si>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</si>
  <si>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</si>
  <si>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</si>
  <si>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</si>
  <si>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</si>
  <si>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</si>
  <si>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</si>
  <si>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</si>
  <si>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</si>
  <si>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</si>
  <si>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</si>
  <si>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</si>
  <si>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</si>
  <si>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</si>
  <si>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</si>
  <si>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</si>
  <si>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</si>
  <si>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</si>
  <si>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</si>
  <si>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</si>
  <si>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</si>
  <si>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</si>
  <si>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</si>
  <si>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</si>
  <si>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</si>
  <si>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</si>
  <si>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</si>
  <si>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</si>
  <si>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</si>
  <si>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</si>
  <si>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</si>
  <si>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</si>
  <si>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</si>
  <si>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</si>
  <si>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</si>
  <si>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</si>
  <si>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</si>
  <si>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</si>
  <si>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</si>
  <si>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</si>
  <si>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</si>
  <si>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</si>
  <si>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</si>
  <si>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</si>
  <si>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</si>
  <si>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</si>
  <si>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</si>
  <si>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</si>
  <si>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</si>
  <si>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</si>
  <si>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</si>
  <si>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</si>
  <si>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</si>
  <si>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</si>
  <si>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</si>
  <si>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</si>
  <si>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</si>
  <si>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</si>
  <si>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</si>
  <si>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</si>
  <si>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</si>
  <si>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</si>
  <si>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</si>
  <si>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</si>
  <si>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</si>
  <si>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</si>
  <si>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</si>
  <si>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</si>
  <si>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</si>
  <si>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</si>
  <si>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</si>
  <si>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</si>
  <si>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</si>
  <si>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</si>
  <si>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</si>
  <si>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</si>
  <si>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</si>
  <si>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</si>
  <si>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</si>
  <si>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</si>
  <si>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</si>
  <si>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</si>
  <si>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</si>
  <si>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</si>
  <si>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</si>
  <si>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</si>
  <si>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</si>
  <si>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</si>
  <si>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</si>
  <si>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</si>
  <si>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</si>
  <si>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</si>
  <si>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</si>
  <si>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</si>
  <si>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</si>
  <si>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</si>
  <si>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</si>
  <si>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</si>
  <si>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</si>
  <si>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</si>
  <si>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</si>
  <si>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</si>
  <si>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</si>
  <si>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</si>
  <si>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</si>
  <si>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</si>
  <si>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</si>
  <si>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</si>
  <si>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</si>
  <si>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</si>
  <si>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</si>
  <si>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</si>
  <si>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</si>
  <si>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</si>
  <si>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</si>
  <si>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</si>
  <si>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</si>
  <si>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</si>
  <si>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</si>
  <si>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</si>
  <si>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</si>
  <si>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</si>
  <si>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</si>
  <si>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</si>
  <si>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</si>
  <si>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</si>
  <si>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</si>
  <si>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</si>
  <si>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</si>
  <si>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</si>
  <si>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</si>
  <si>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</si>
  <si>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</si>
  <si>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</si>
  <si>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</si>
  <si>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</si>
  <si>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</si>
  <si>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</si>
  <si>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</si>
  <si>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</si>
  <si>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</si>
  <si>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</si>
  <si>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</si>
  <si>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</si>
  <si>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</si>
  <si>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</si>
  <si>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</si>
  <si>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</si>
  <si>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</si>
  <si>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</si>
  <si>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</si>
  <si>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</si>
  <si>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</si>
  <si>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</si>
  <si>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</si>
  <si>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</si>
  <si>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</si>
  <si>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</si>
  <si>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</si>
  <si>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</si>
  <si>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</si>
  <si>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</si>
  <si>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</si>
  <si>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</si>
  <si>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</si>
  <si>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</si>
  <si>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</si>
  <si>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</si>
  <si>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</si>
  <si>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</si>
  <si>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</si>
  <si>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</si>
  <si>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</si>
  <si>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</si>
  <si>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</si>
  <si>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</si>
  <si>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</si>
  <si>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</si>
  <si>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</si>
  <si>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</si>
  <si>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</si>
  <si>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</si>
  <si>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</si>
  <si>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</si>
  <si>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</si>
  <si>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</si>
  <si>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</si>
  <si>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</si>
  <si>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</si>
  <si>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</si>
  <si>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</si>
  <si>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</si>
  <si>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</si>
  <si>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</si>
  <si>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</si>
  <si>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</si>
  <si>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</si>
  <si>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</si>
  <si>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</si>
  <si>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</si>
  <si>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</si>
  <si>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</si>
  <si>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</si>
  <si>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</si>
  <si>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</si>
  <si>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</si>
  <si>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</si>
  <si>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</si>
  <si>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</si>
  <si>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</si>
  <si>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</si>
  <si>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</si>
  <si>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</si>
  <si>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</si>
  <si>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</si>
  <si>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</si>
  <si>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</si>
  <si>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</si>
  <si>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</si>
  <si>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</si>
  <si>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</si>
  <si>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</si>
  <si>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</si>
  <si>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</si>
  <si>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</si>
  <si>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</si>
  <si>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</si>
  <si>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</si>
  <si>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</si>
  <si>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</si>
  <si>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</si>
  <si>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</si>
  <si>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</si>
  <si>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</si>
  <si>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</si>
  <si>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</si>
  <si>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</si>
  <si>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</si>
  <si>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</si>
  <si>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</si>
  <si>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</si>
  <si>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</si>
  <si>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</si>
  <si>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</si>
  <si>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</si>
  <si>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</si>
  <si>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</si>
  <si>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</si>
  <si>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</si>
  <si>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</si>
  <si>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</si>
  <si>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</si>
  <si>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</si>
  <si>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</si>
  <si>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</si>
  <si>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</si>
  <si>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</si>
  <si>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</si>
  <si>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</si>
  <si>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</si>
  <si>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</si>
  <si>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</si>
  <si>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</si>
  <si>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</si>
  <si>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</si>
  <si>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</si>
  <si>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</si>
  <si>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</si>
  <si>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</si>
  <si>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</si>
  <si>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</si>
  <si>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</si>
  <si>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</si>
  <si>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</si>
  <si>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</si>
  <si>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</si>
  <si>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</si>
  <si>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</si>
  <si>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</si>
  <si>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</si>
  <si>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</si>
  <si>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</si>
  <si>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</si>
  <si>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</si>
  <si>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</si>
  <si>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</si>
  <si>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</si>
  <si>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</si>
  <si>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</si>
  <si>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</si>
  <si>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</si>
  <si>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</si>
  <si>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</si>
  <si>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</si>
  <si>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</si>
  <si>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</si>
  <si>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</si>
  <si>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</si>
  <si>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</si>
  <si>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</si>
  <si>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</si>
  <si>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</si>
  <si>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</si>
  <si>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</si>
  <si>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</si>
  <si>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</si>
  <si>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</si>
  <si>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</si>
  <si>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</si>
  <si>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</si>
  <si>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</si>
  <si>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</si>
  <si>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</si>
  <si>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</si>
  <si>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</si>
  <si>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</si>
  <si>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</si>
  <si>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</si>
  <si>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</si>
  <si>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</si>
  <si>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</si>
  <si>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</si>
  <si>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</si>
  <si>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</si>
  <si>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</si>
  <si>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</si>
  <si>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</si>
  <si>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</si>
  <si>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</si>
  <si>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</si>
  <si>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</si>
  <si>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</si>
  <si>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</si>
  <si>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</si>
  <si>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</si>
  <si>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</si>
  <si>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</si>
  <si>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</si>
  <si>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</si>
  <si>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</si>
  <si>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</si>
  <si>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</si>
  <si>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</si>
  <si>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</si>
  <si>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</si>
  <si>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</si>
  <si>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</si>
  <si>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</si>
  <si>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</si>
  <si>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</si>
  <si>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</si>
  <si>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</si>
  <si>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</si>
  <si>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</si>
  <si>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</si>
  <si>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</si>
  <si>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</si>
  <si>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</si>
  <si>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</si>
  <si>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</si>
  <si>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</si>
  <si>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</si>
  <si>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</si>
  <si>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</si>
  <si>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</si>
  <si>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</si>
  <si>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</si>
  <si>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</si>
  <si>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</si>
  <si>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</si>
  <si>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</si>
  <si>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</si>
  <si>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</si>
  <si>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</si>
  <si>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</si>
  <si>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</si>
  <si>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</si>
  <si>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</si>
  <si>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</si>
  <si>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</si>
  <si>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</si>
  <si>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</si>
  <si>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</si>
  <si>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</si>
  <si>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</si>
  <si>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</si>
  <si>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</si>
  <si>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</si>
  <si>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</si>
  <si>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</si>
  <si>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</si>
  <si>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</si>
  <si>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</si>
  <si>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</si>
  <si>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</si>
  <si>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</si>
  <si>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</si>
  <si>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</si>
  <si>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</si>
  <si>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</si>
  <si>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</si>
  <si>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</si>
  <si>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</si>
  <si>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</si>
  <si>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</si>
  <si>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</si>
  <si>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</si>
  <si>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</si>
  <si>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</si>
  <si>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</si>
  <si>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</si>
  <si>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</si>
  <si>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</si>
  <si>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</si>
  <si>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</si>
  <si>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</si>
  <si>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</si>
  <si>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</si>
  <si>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</si>
  <si>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</si>
  <si>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</si>
  <si>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</si>
  <si>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</si>
  <si>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</si>
  <si>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</si>
  <si>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</si>
  <si>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</si>
  <si>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</si>
  <si>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</si>
  <si>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</si>
  <si>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</si>
  <si>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</si>
  <si>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</si>
  <si>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</si>
  <si>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</si>
  <si>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</si>
  <si>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</si>
  <si>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</si>
  <si>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</si>
  <si>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</si>
  <si>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</si>
  <si>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</si>
  <si>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</si>
  <si>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</si>
  <si>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</si>
  <si>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</si>
  <si>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</si>
  <si>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</si>
  <si>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</si>
  <si>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</si>
  <si>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</si>
  <si>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</si>
  <si>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</si>
  <si>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</si>
  <si>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</si>
  <si>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</si>
  <si>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</si>
  <si>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</si>
  <si>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</si>
  <si>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</si>
  <si>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</si>
  <si>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</si>
  <si>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</si>
  <si>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</si>
  <si>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</si>
  <si>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</si>
  <si>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</si>
  <si>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</si>
  <si>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</si>
  <si>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</si>
  <si>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</si>
  <si>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</si>
  <si>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</si>
  <si>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</si>
  <si>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</si>
  <si>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</si>
  <si>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</si>
  <si>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</si>
  <si>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</si>
  <si>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</si>
  <si>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</si>
  <si>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</si>
  <si>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</si>
  <si>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</si>
  <si>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</si>
  <si>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</si>
  <si>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</si>
  <si>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</si>
  <si>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</si>
  <si>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</si>
  <si>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</si>
  <si>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</si>
  <si>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</si>
  <si>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</si>
  <si>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</si>
  <si>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</si>
  <si>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</si>
  <si>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</si>
  <si>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</si>
  <si>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</si>
  <si>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</si>
  <si>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</si>
  <si>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</si>
  <si>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</si>
  <si>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</si>
  <si>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</si>
  <si>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</si>
  <si>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</si>
  <si>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</si>
  <si>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</si>
  <si>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</si>
  <si>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</si>
  <si>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</si>
  <si>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</si>
  <si>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</si>
  <si>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</si>
  <si>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</si>
  <si>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</si>
  <si>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</si>
  <si>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</si>
  <si>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</si>
  <si>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</si>
  <si>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</si>
  <si>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</si>
  <si>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</si>
  <si>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</si>
  <si>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</si>
  <si>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</si>
  <si>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</si>
  <si>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</si>
  <si>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</si>
  <si>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</si>
  <si>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</si>
  <si>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</si>
  <si>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</si>
  <si>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</si>
  <si>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</si>
  <si>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</si>
  <si>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</si>
  <si>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</si>
  <si>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</si>
  <si>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</si>
  <si>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</si>
  <si>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</si>
  <si>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</si>
  <si>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</si>
  <si>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</si>
  <si>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</si>
  <si>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</si>
  <si>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</si>
  <si>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</si>
  <si>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</si>
  <si>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</si>
  <si>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</si>
  <si>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</si>
  <si>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</si>
  <si>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</si>
  <si>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</si>
  <si>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</si>
  <si>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</si>
  <si>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</si>
  <si>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</si>
  <si>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</si>
  <si>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</si>
  <si>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</si>
  <si>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</si>
  <si>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</si>
  <si>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</si>
  <si>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</si>
  <si>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</si>
  <si>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</si>
  <si>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</si>
  <si>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</si>
  <si>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</si>
  <si>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</si>
  <si>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</si>
  <si>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</si>
  <si>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</si>
  <si>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</si>
  <si>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</si>
  <si>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</si>
  <si>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</si>
  <si>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</si>
  <si>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</si>
  <si>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</si>
  <si>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</si>
  <si>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</si>
  <si>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</si>
  <si>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</si>
  <si>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</si>
  <si>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</si>
  <si>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</si>
  <si>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</si>
  <si>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</si>
  <si>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</si>
  <si>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</si>
  <si>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</si>
  <si>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</si>
  <si>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</si>
  <si>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</si>
  <si>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</si>
  <si>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</si>
  <si>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</si>
  <si>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</si>
  <si>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</si>
  <si>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</si>
  <si>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</si>
  <si>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</si>
  <si>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</si>
  <si>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</si>
  <si>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</si>
  <si>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</si>
  <si>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</si>
  <si>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</si>
  <si>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</si>
  <si>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</si>
  <si>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</si>
  <si>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</si>
  <si>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</si>
  <si>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</si>
  <si>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</si>
  <si>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</si>
  <si>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</si>
  <si>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</si>
  <si>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</si>
  <si>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</si>
  <si>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</si>
  <si>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</si>
  <si>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</si>
  <si>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</si>
  <si>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</si>
  <si>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</si>
  <si>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</si>
  <si>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</si>
  <si>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</si>
  <si>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</si>
  <si>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</si>
  <si>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</si>
  <si>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</si>
  <si>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</si>
  <si>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</si>
  <si>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</si>
  <si>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</si>
  <si>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</si>
  <si>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</si>
  <si>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</si>
  <si>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</si>
  <si>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</si>
  <si>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</si>
  <si>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</si>
  <si>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</si>
  <si>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</si>
  <si>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</si>
  <si>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</si>
  <si>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</si>
  <si>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</si>
  <si>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</si>
  <si>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</si>
  <si>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</si>
  <si>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</si>
  <si>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</si>
  <si>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</si>
  <si>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</si>
  <si>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</si>
  <si>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</si>
  <si>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</si>
  <si>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</si>
  <si>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</si>
  <si>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</si>
  <si>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</si>
  <si>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</si>
  <si>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</si>
  <si>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</si>
  <si>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</si>
  <si>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</si>
  <si>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</si>
  <si>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</si>
  <si>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</si>
  <si>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</si>
  <si>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</si>
  <si>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</si>
  <si>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</si>
  <si>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</si>
  <si>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</si>
  <si>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</si>
  <si>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</si>
  <si>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</si>
  <si>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</si>
  <si>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</si>
  <si>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</si>
  <si>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</si>
  <si>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</si>
  <si>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</si>
  <si>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</si>
  <si>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</si>
  <si>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</si>
  <si>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</si>
  <si>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</si>
  <si>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</si>
  <si>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</si>
  <si>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</si>
  <si>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</si>
  <si>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</si>
  <si>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</si>
  <si>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</si>
  <si>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</si>
  <si>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</si>
  <si>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</si>
  <si>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</si>
  <si>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</si>
  <si>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</si>
  <si>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</si>
  <si>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</si>
  <si>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</si>
  <si>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</si>
  <si>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</si>
  <si>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</si>
  <si>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</si>
  <si>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</si>
  <si>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</si>
  <si>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</si>
  <si>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</si>
  <si>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</si>
  <si>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</si>
  <si>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</si>
  <si>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</si>
  <si>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</si>
  <si>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</si>
  <si>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</si>
  <si>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</si>
  <si>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</si>
  <si>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</si>
  <si>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</si>
  <si>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</si>
  <si>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</si>
  <si>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</si>
  <si>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</si>
  <si>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</si>
  <si>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</si>
  <si>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</si>
  <si>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</si>
  <si>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</si>
  <si>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</si>
  <si>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</si>
  <si>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</si>
  <si>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</si>
  <si>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</si>
  <si>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</si>
  <si>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</si>
  <si>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</si>
  <si>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</si>
  <si>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</si>
  <si>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</si>
  <si>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</si>
  <si>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</si>
  <si>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</si>
  <si>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</si>
  <si>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</si>
  <si>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</si>
  <si>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</si>
  <si>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</si>
  <si>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</si>
  <si>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</si>
  <si>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</si>
  <si>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</si>
  <si>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</si>
  <si>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</si>
  <si>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</si>
  <si>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</si>
  <si>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</si>
  <si>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</si>
  <si>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</si>
  <si>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</si>
  <si>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</si>
  <si>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</si>
  <si>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</si>
  <si>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</si>
  <si>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</si>
  <si>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</si>
  <si>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</si>
  <si>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</si>
  <si>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</si>
  <si>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</si>
  <si>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</si>
  <si>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</si>
  <si>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</si>
  <si>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</si>
  <si>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</si>
  <si>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</si>
  <si>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</si>
  <si>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</si>
  <si>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</si>
  <si>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</si>
  <si>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</si>
  <si>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</si>
  <si>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</si>
  <si>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</si>
  <si>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</si>
  <si>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</si>
  <si>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</si>
  <si>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</si>
  <si>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</si>
  <si>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</si>
  <si>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</si>
  <si>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</si>
  <si>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</si>
  <si>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</si>
  <si>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</si>
  <si>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</si>
  <si>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</si>
  <si>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</si>
  <si>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</si>
  <si>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</si>
  <si>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</si>
  <si>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</si>
  <si>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</si>
  <si>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</si>
  <si>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</si>
  <si>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</si>
  <si>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</si>
  <si>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</si>
  <si>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</si>
  <si>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</si>
  <si>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</si>
  <si>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</si>
  <si>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</si>
  <si>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</si>
  <si>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</si>
  <si>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</si>
  <si>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</si>
  <si>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</si>
  <si>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</si>
  <si>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</si>
  <si>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</si>
  <si>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</si>
  <si>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</si>
  <si>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</si>
  <si>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</si>
  <si>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</si>
  <si>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</si>
  <si>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</si>
  <si>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</si>
  <si>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</si>
  <si>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</si>
  <si>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</si>
  <si>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</si>
  <si>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</si>
  <si>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</si>
  <si>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</si>
  <si>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</si>
  <si>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</si>
  <si>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</si>
  <si>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</si>
  <si>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</si>
  <si>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</si>
  <si>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</si>
  <si>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</si>
  <si>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</si>
  <si>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</si>
  <si>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</si>
  <si>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</si>
  <si>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</si>
  <si>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</si>
  <si>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</si>
  <si>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</si>
  <si>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</si>
  <si>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</si>
  <si>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</si>
  <si>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</si>
  <si>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</si>
  <si>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</si>
  <si>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</si>
  <si>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</si>
  <si>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</si>
  <si>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</si>
  <si>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</si>
  <si>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</si>
  <si>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</si>
  <si>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</si>
  <si>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</si>
  <si>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</si>
  <si>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</si>
  <si>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</si>
  <si>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</si>
  <si>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</si>
  <si>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</si>
  <si>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</si>
  <si>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</si>
  <si>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</si>
  <si>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</si>
  <si>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</si>
  <si>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</si>
  <si>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</si>
  <si>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</si>
  <si>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</si>
  <si>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</si>
  <si>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</si>
  <si>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</si>
  <si>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</si>
  <si>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</si>
  <si>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</si>
  <si>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</si>
  <si>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</si>
  <si>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</si>
  <si>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</si>
  <si>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</si>
  <si>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</si>
  <si>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</si>
  <si>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</si>
  <si>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</si>
  <si>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</si>
  <si>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</si>
  <si>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</si>
  <si>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</si>
  <si>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</si>
  <si>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</si>
  <si>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</si>
  <si>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</si>
  <si>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</si>
  <si>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</si>
  <si>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</si>
  <si>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</si>
  <si>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</si>
  <si>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</si>
  <si>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</si>
  <si>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</si>
  <si>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</si>
  <si>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</si>
  <si>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</si>
  <si>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</si>
  <si>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</si>
  <si>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</si>
  <si>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</si>
  <si>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</si>
  <si>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</si>
  <si>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</si>
  <si>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</si>
  <si>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</si>
  <si>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</si>
  <si>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</si>
  <si>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</si>
  <si>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</si>
  <si>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</si>
  <si>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</si>
  <si>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</si>
  <si>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</si>
  <si>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</si>
  <si>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</si>
  <si>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</si>
  <si>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</si>
  <si>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</si>
  <si>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</si>
  <si>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</si>
  <si>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</si>
  <si>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</si>
  <si>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</si>
  <si>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</si>
  <si>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</si>
  <si>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</si>
  <si>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</si>
  <si>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</si>
  <si>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</si>
  <si>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</si>
  <si>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</si>
  <si>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</si>
  <si>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</si>
  <si>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</si>
  <si>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</si>
  <si>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</si>
  <si>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</si>
  <si>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</si>
  <si>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</si>
  <si>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</si>
  <si>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</si>
  <si>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</si>
  <si>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</si>
  <si>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</si>
  <si>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</si>
  <si>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</si>
  <si>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</si>
  <si>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</si>
  <si>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</si>
  <si>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</si>
  <si>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</si>
  <si>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</si>
  <si>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</si>
  <si>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</si>
  <si>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</si>
  <si>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</si>
  <si>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</si>
  <si>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</si>
  <si>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</si>
  <si>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</si>
  <si>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</si>
  <si>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</si>
  <si>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</si>
  <si>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</si>
  <si>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</si>
  <si>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</si>
  <si>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</si>
  <si>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</si>
  <si>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</si>
  <si>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</si>
  <si>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</si>
  <si>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</si>
  <si>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</si>
  <si>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</si>
  <si>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</si>
  <si>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</si>
  <si>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</si>
  <si>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</si>
  <si>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</si>
  <si>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</si>
  <si>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</si>
  <si>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</si>
  <si>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</si>
  <si>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</si>
  <si>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</si>
  <si>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</si>
  <si>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</si>
  <si>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</si>
  <si>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</si>
  <si>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</si>
  <si>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</si>
  <si>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</si>
  <si>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</si>
  <si>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</si>
  <si>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</si>
  <si>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</si>
  <si>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</si>
  <si>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</si>
  <si>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</si>
  <si>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</si>
  <si>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</si>
  <si>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</si>
  <si>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</si>
  <si>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</si>
  <si>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</si>
  <si>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</si>
  <si>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</si>
  <si>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</si>
  <si>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</si>
  <si>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</si>
  <si>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</si>
  <si>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</si>
  <si>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</si>
  <si>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</si>
  <si>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</si>
  <si>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</si>
  <si>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</si>
  <si>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</si>
  <si>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</si>
  <si>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</si>
  <si>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</si>
  <si>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</si>
  <si>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</si>
  <si>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</si>
  <si>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</si>
  <si>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</si>
  <si>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</si>
  <si>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</si>
  <si>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</si>
  <si>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</si>
  <si>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</si>
  <si>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</si>
  <si>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</si>
  <si>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</si>
  <si>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</si>
  <si>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</si>
  <si>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</si>
  <si>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</si>
  <si>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</si>
  <si>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</si>
  <si>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</si>
  <si>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</si>
  <si>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</si>
  <si>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</si>
  <si>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</si>
  <si>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</si>
  <si>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</si>
  <si>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</si>
  <si>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</si>
  <si>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</si>
  <si>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</si>
  <si>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</si>
  <si>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</si>
  <si>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</si>
  <si>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</si>
  <si>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</si>
  <si>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</si>
  <si>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</si>
  <si>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</si>
  <si>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</si>
  <si>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</si>
  <si>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</si>
  <si>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</si>
  <si>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</si>
  <si>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</si>
  <si>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</si>
  <si>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</si>
  <si>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</si>
  <si>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</si>
  <si>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</si>
  <si>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</si>
  <si>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</si>
  <si>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</si>
  <si>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</si>
  <si>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</si>
  <si>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</si>
  <si>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</si>
  <si>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</si>
  <si>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</si>
  <si>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</si>
  <si>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</si>
  <si>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</si>
  <si>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</si>
  <si>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</si>
  <si>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</si>
  <si>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</si>
  <si>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</si>
  <si>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</si>
  <si>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</si>
  <si>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</si>
  <si>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</si>
  <si>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</si>
  <si>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</si>
  <si>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</si>
  <si>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</si>
  <si>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</si>
  <si>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</si>
  <si>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</si>
  <si>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</si>
  <si>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</si>
  <si>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</si>
  <si>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</si>
  <si>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</si>
  <si>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</si>
  <si>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</si>
  <si>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</si>
  <si>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</si>
  <si>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</si>
  <si>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</si>
  <si>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</si>
  <si>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</si>
  <si>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</si>
  <si>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</si>
  <si>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</si>
  <si>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</si>
  <si>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</si>
  <si>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</si>
  <si>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</si>
  <si>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</si>
  <si>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</si>
  <si>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</si>
  <si>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</si>
  <si>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</si>
  <si>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</si>
  <si>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</si>
  <si>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</si>
  <si>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</si>
  <si>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</si>
  <si>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</si>
  <si>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</si>
  <si>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</si>
  <si>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</si>
  <si>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</si>
  <si>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</si>
  <si>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</si>
  <si>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</si>
  <si>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</si>
  <si>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</si>
  <si>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</si>
  <si>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</si>
  <si>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</si>
  <si>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</si>
  <si>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</si>
  <si>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</si>
  <si>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</si>
  <si>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</si>
  <si>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</si>
  <si>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</si>
  <si>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</si>
  <si>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</si>
  <si>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</si>
  <si>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</si>
  <si>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</si>
  <si>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</si>
  <si>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</si>
  <si>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</si>
  <si>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</si>
  <si>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</si>
  <si>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</si>
  <si>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</si>
  <si>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</si>
  <si>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</si>
  <si>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</si>
  <si>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</si>
  <si>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</si>
  <si>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</si>
  <si>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</si>
  <si>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</si>
  <si>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</si>
  <si>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</si>
  <si>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</si>
  <si>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</si>
  <si>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</si>
  <si>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</si>
  <si>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</si>
  <si>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</si>
  <si>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</si>
  <si>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</si>
  <si>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</si>
  <si>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</si>
  <si>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</si>
  <si>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</si>
  <si>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</si>
  <si>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</si>
  <si>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</si>
  <si>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</si>
  <si>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</si>
  <si>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</si>
  <si>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</si>
  <si>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</si>
  <si>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</si>
  <si>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</si>
  <si>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</si>
  <si>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</si>
  <si>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</si>
  <si>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</si>
  <si>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</si>
  <si>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</si>
  <si>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</si>
  <si>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</si>
  <si>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</si>
  <si>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</si>
  <si>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</si>
  <si>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</si>
  <si>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</si>
  <si>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</si>
  <si>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</si>
  <si>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</si>
  <si>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</si>
  <si>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</si>
  <si>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</si>
  <si>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</si>
  <si>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</si>
  <si>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</si>
  <si>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</si>
  <si>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</si>
  <si>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</si>
  <si>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</si>
  <si>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</si>
  <si>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</si>
  <si>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</si>
  <si>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</si>
  <si>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</si>
  <si>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</si>
  <si>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</si>
  <si>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</si>
  <si>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</si>
  <si>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</si>
  <si>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</si>
  <si>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</si>
  <si>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</si>
  <si>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</si>
  <si>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</si>
  <si>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</si>
  <si>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</si>
  <si>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</si>
  <si>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</si>
  <si>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</si>
  <si>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</si>
  <si>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</si>
  <si>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</si>
  <si>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</si>
  <si>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</si>
  <si>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</si>
  <si>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</si>
  <si>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</si>
  <si>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</si>
  <si>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</si>
  <si>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</si>
  <si>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</si>
  <si>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</si>
  <si>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</si>
  <si>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</si>
  <si>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</si>
  <si>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</si>
  <si>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</si>
  <si>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</si>
  <si>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</si>
  <si>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</si>
  <si>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</si>
  <si>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</si>
  <si>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</si>
  <si>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</si>
  <si>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</si>
  <si>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</si>
  <si>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</si>
  <si>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</si>
  <si>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</si>
  <si>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</si>
  <si>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</si>
  <si>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</si>
  <si>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</si>
  <si>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</si>
  <si>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</si>
  <si>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</si>
  <si>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</si>
  <si>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</si>
  <si>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</si>
  <si>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</si>
  <si>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</si>
  <si>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</si>
  <si>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</si>
  <si>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</si>
  <si>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</si>
  <si>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</si>
  <si>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</si>
  <si>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</si>
  <si>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</si>
  <si>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</si>
  <si>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</si>
  <si>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</si>
  <si>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</si>
  <si>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</si>
  <si>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</si>
  <si>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</si>
  <si>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</si>
  <si>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</si>
  <si>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</si>
  <si>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</si>
  <si>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</si>
  <si>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</si>
  <si>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</si>
  <si>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</si>
  <si>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</si>
  <si>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</si>
  <si>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</si>
  <si>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</si>
  <si>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</si>
  <si>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</si>
  <si>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</si>
  <si>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</si>
  <si>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</si>
  <si>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</si>
  <si>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</si>
  <si>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</si>
  <si>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</si>
  <si>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</si>
  <si>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</si>
  <si>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</si>
  <si>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</si>
  <si>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</si>
  <si>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</si>
  <si>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</si>
  <si>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</si>
  <si>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</si>
  <si>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</si>
  <si>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</si>
  <si>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</si>
  <si>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</si>
  <si>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</si>
  <si>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</si>
  <si>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</si>
  <si>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</si>
  <si>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</si>
  <si>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</si>
  <si>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</si>
  <si>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</si>
  <si>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</si>
  <si>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</si>
  <si>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</si>
  <si>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</si>
  <si>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</si>
  <si>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</si>
  <si>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</si>
  <si>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</si>
  <si>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</si>
  <si>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</si>
  <si>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</si>
  <si>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</si>
  <si>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</si>
  <si>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</si>
  <si>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</si>
  <si>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</si>
  <si>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</si>
  <si>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</si>
  <si>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</si>
  <si>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</si>
  <si>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</si>
  <si>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</si>
  <si>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</si>
  <si>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</si>
  <si>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</si>
  <si>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</si>
  <si>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</si>
  <si>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</si>
  <si>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</si>
  <si>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</si>
  <si>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</si>
  <si>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</si>
  <si>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</si>
  <si>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</si>
  <si>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</si>
  <si>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</si>
  <si>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</si>
  <si>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</si>
  <si>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</si>
  <si>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</si>
  <si>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</si>
  <si>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</si>
  <si>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</si>
  <si>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</si>
  <si>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</si>
  <si>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</si>
  <si>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</si>
  <si>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</si>
  <si>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</si>
  <si>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</si>
  <si>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</si>
  <si>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</si>
  <si>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</si>
  <si>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</si>
  <si>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</si>
  <si>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</si>
  <si>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</si>
  <si>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</si>
  <si>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</si>
  <si>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</si>
  <si>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</si>
  <si>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</si>
  <si>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</si>
  <si>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</si>
  <si>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</si>
  <si>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</si>
  <si>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</si>
  <si>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</si>
  <si>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</si>
  <si>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</si>
  <si>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</si>
  <si>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</si>
  <si>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</si>
  <si>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</si>
  <si>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</si>
  <si>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</si>
  <si>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</si>
  <si>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</si>
  <si>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</si>
  <si>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</si>
  <si>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</si>
  <si>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</si>
  <si>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</si>
  <si>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</si>
  <si>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</si>
  <si>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</si>
  <si>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</si>
  <si>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</si>
  <si>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</si>
  <si>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</si>
  <si>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</si>
  <si>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</si>
  <si>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</si>
  <si>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</si>
  <si>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</si>
  <si>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</si>
  <si>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</si>
  <si>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</si>
  <si>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</si>
  <si>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</si>
  <si>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</si>
  <si>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</si>
  <si>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</si>
  <si>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</si>
  <si>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</si>
  <si>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</si>
  <si>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</si>
  <si>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</si>
  <si>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</si>
  <si>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</si>
  <si>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</si>
  <si>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</si>
  <si>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</si>
  <si>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</si>
  <si>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</si>
  <si>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</si>
  <si>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</si>
  <si>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</si>
  <si>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</si>
  <si>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</si>
  <si>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</si>
  <si>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</si>
  <si>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</si>
  <si>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</si>
  <si>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</si>
  <si>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</si>
  <si>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</si>
  <si>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</si>
  <si>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</si>
  <si>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</si>
  <si>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</si>
  <si>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</si>
  <si>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</si>
  <si>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</si>
  <si>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</si>
  <si>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</si>
  <si>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</si>
  <si>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</si>
  <si>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</si>
  <si>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</si>
  <si>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</si>
  <si>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</si>
  <si>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</si>
  <si>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</si>
  <si>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</si>
  <si>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</si>
  <si>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</si>
  <si>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</si>
  <si>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</si>
  <si>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</si>
  <si>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</si>
  <si>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</si>
  <si>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</si>
  <si>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</si>
  <si>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</si>
  <si>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</si>
  <si>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</si>
  <si>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</si>
  <si>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</si>
  <si>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</si>
  <si>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</si>
  <si>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</si>
  <si>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</si>
  <si>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</si>
  <si>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</si>
  <si>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</si>
  <si>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</si>
  <si>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</si>
  <si>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</si>
  <si>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</si>
  <si>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</si>
  <si>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</si>
  <si>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</si>
  <si>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</si>
  <si>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</si>
  <si>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</si>
  <si>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</si>
  <si>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</si>
  <si>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</si>
  <si>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</si>
  <si>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</si>
  <si>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</si>
  <si>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</si>
  <si>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</si>
  <si>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</si>
  <si>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</si>
  <si>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</si>
  <si>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</si>
  <si>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</si>
  <si>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</si>
  <si>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</si>
  <si>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</si>
  <si>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</si>
  <si>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</si>
  <si>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</si>
  <si>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</si>
  <si>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</si>
  <si>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</si>
  <si>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</si>
  <si>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</si>
  <si>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</si>
  <si>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</si>
  <si>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</si>
  <si>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</si>
  <si>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</si>
  <si>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</si>
  <si>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</si>
  <si>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</si>
  <si>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</si>
  <si>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</si>
  <si>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</si>
  <si>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</si>
  <si>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</si>
  <si>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</si>
  <si>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</si>
  <si>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</si>
  <si>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</si>
  <si>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</si>
  <si>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</si>
  <si>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</si>
  <si>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</si>
  <si>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</si>
  <si>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</si>
  <si>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</si>
  <si>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</si>
  <si>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</si>
  <si>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</si>
  <si>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</si>
  <si>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</si>
  <si>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</si>
  <si>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</si>
  <si>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</si>
  <si>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</si>
  <si>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</si>
  <si>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</si>
  <si>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</si>
  <si>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</si>
  <si>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</si>
  <si>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</si>
  <si>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</si>
  <si>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</si>
  <si>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</si>
  <si>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</si>
  <si>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</si>
  <si>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</si>
  <si>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</si>
  <si>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</si>
  <si>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</si>
  <si>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</si>
  <si>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</si>
  <si>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</si>
  <si>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</si>
  <si>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</si>
  <si>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</si>
  <si>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</si>
  <si>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</si>
  <si>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</si>
  <si>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</si>
  <si>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</si>
  <si>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</si>
  <si>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</si>
  <si>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</si>
  <si>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</si>
  <si>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</si>
  <si>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</si>
  <si>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</si>
  <si>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</si>
  <si>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</si>
  <si>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</si>
  <si>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</si>
  <si>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</si>
  <si>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</si>
  <si>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</si>
  <si>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</si>
  <si>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</si>
  <si>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</si>
  <si>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</si>
  <si>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</si>
  <si>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</si>
  <si>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</si>
  <si>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</si>
  <si>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</si>
  <si>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</si>
  <si>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</si>
  <si>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</si>
  <si>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</si>
  <si>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</si>
  <si>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</si>
  <si>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</si>
  <si>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</si>
  <si>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</si>
  <si>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</si>
  <si>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</si>
  <si>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</si>
  <si>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</si>
  <si>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</si>
  <si>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</si>
  <si>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</si>
  <si>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</si>
  <si>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</si>
  <si>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</si>
  <si>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</si>
  <si>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</si>
  <si>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</si>
  <si>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</si>
  <si>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</si>
  <si>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</si>
  <si>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</si>
  <si>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</si>
  <si>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</si>
  <si>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</si>
  <si>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</si>
  <si>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</si>
  <si>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</si>
  <si>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</si>
  <si>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</si>
  <si>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</si>
  <si>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</si>
  <si>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</si>
  <si>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</si>
  <si>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</si>
  <si>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</si>
  <si>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</si>
  <si>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</si>
  <si>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</si>
  <si>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</si>
  <si>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</si>
  <si>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</si>
  <si>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</si>
  <si>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</si>
  <si>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</si>
  <si>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</si>
  <si>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</si>
  <si>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</si>
  <si>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</si>
  <si>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</si>
  <si>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</si>
  <si>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</si>
  <si>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</si>
  <si>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</si>
  <si>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</si>
  <si>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</si>
  <si>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</si>
  <si>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</si>
  <si>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</si>
  <si>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</si>
  <si>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</si>
  <si>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</si>
  <si>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</si>
  <si>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</si>
  <si>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</si>
  <si>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</si>
  <si>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</si>
  <si>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</si>
  <si>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</si>
  <si>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</si>
  <si>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</si>
  <si>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</si>
  <si>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</si>
  <si>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</si>
  <si>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</si>
  <si>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</si>
  <si>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</si>
  <si>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</si>
  <si>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</si>
  <si>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</si>
  <si>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</si>
  <si>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</si>
  <si>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</si>
  <si>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</si>
  <si>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</si>
  <si>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</si>
  <si>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</si>
  <si>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</si>
  <si>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</si>
  <si>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</si>
  <si>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</si>
  <si>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</si>
  <si>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</si>
  <si>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</si>
  <si>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</si>
  <si>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</si>
  <si>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</si>
  <si>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</si>
  <si>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</si>
  <si>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</si>
  <si>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</si>
  <si>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</si>
  <si>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</si>
  <si>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</si>
  <si>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</si>
  <si>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</si>
  <si>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</si>
  <si>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</si>
  <si>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</si>
  <si>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</si>
  <si>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</si>
  <si>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</si>
  <si>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</si>
  <si>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</si>
  <si>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</si>
  <si>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</si>
  <si>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</si>
  <si>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</si>
  <si>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</si>
  <si>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</si>
  <si>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</si>
  <si>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</si>
  <si>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</si>
  <si>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</si>
  <si>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</si>
  <si>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</si>
  <si>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</si>
  <si>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</si>
  <si>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</si>
  <si>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</si>
  <si>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</si>
  <si>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</si>
  <si>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</si>
  <si>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</si>
  <si>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</si>
  <si>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</si>
  <si>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</si>
  <si>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</si>
  <si>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</si>
  <si>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</si>
  <si>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</si>
  <si>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</si>
  <si>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</si>
  <si>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</si>
  <si>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</si>
  <si>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</si>
  <si>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</si>
  <si>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</si>
  <si>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</si>
  <si>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</si>
  <si>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</si>
  <si>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</si>
  <si>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</si>
  <si>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</si>
  <si>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</si>
  <si>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</si>
  <si>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</si>
  <si>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</si>
  <si>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</si>
  <si>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</si>
  <si>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</si>
  <si>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</si>
  <si>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</si>
  <si>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</si>
  <si>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</si>
  <si>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</si>
  <si>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</si>
  <si>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</si>
  <si>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</si>
  <si>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</si>
  <si>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</si>
  <si>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</si>
  <si>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</si>
  <si>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</si>
  <si>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</si>
  <si>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</si>
  <si>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</si>
  <si>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</si>
  <si>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</si>
  <si>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</si>
  <si>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</si>
  <si>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</si>
  <si>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</si>
  <si>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</si>
  <si>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</si>
  <si>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</si>
  <si>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</si>
  <si>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</si>
  <si>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</si>
  <si>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</si>
  <si>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</si>
  <si>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</si>
  <si>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</si>
  <si>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</si>
  <si>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</si>
  <si>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</si>
  <si>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</si>
  <si>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</si>
  <si>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</si>
  <si>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</si>
  <si>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</si>
  <si>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</si>
  <si>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</si>
  <si>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</si>
  <si>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</si>
  <si>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</si>
  <si>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</si>
  <si>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</si>
  <si>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</si>
  <si>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</si>
  <si>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</si>
  <si>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</si>
  <si>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</si>
  <si>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</si>
  <si>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</si>
  <si>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</si>
  <si>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</si>
  <si>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</si>
  <si>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</si>
  <si>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</si>
  <si>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</si>
  <si>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</si>
  <si>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</si>
  <si>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</si>
  <si>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</si>
  <si>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</si>
  <si>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</si>
  <si>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</si>
  <si>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</si>
  <si>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</si>
  <si>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</si>
  <si>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</si>
  <si>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</si>
  <si>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</si>
  <si>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</si>
  <si>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</si>
  <si>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</si>
  <si>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</si>
  <si>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</si>
  <si>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</si>
  <si>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</si>
  <si>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</si>
  <si>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</si>
  <si>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</si>
  <si>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</si>
  <si>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</si>
  <si>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</si>
  <si>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</si>
  <si>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</si>
  <si>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</si>
  <si>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</si>
  <si>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</si>
  <si>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</si>
  <si>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</si>
  <si>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</si>
  <si>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</si>
  <si>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</si>
  <si>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</si>
  <si>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</si>
  <si>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</si>
  <si>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</si>
  <si>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</si>
  <si>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</si>
  <si>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</si>
  <si>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</si>
  <si>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</si>
  <si>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</si>
  <si>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</si>
  <si>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</si>
  <si>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</si>
  <si>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</si>
  <si>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</si>
  <si>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</si>
  <si>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</si>
  <si>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</si>
  <si>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</si>
  <si>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</si>
  <si>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</si>
  <si>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</si>
  <si>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</si>
  <si>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</si>
  <si>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</si>
  <si>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</si>
  <si>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</si>
  <si>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</si>
  <si>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</si>
  <si>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</si>
  <si>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</si>
  <si>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</si>
  <si>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</si>
  <si>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</si>
  <si>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</si>
  <si>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</si>
  <si>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</si>
  <si>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</si>
  <si>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</si>
  <si>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</si>
  <si>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</si>
  <si>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</si>
  <si>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</si>
  <si>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</si>
  <si>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</si>
  <si>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</si>
  <si>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</si>
  <si>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</si>
  <si>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</si>
  <si>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</si>
  <si>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</si>
  <si>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</si>
  <si>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</si>
  <si>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</si>
  <si>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</si>
  <si>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</si>
  <si>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</si>
  <si>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</si>
  <si>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</si>
  <si>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</si>
  <si>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</si>
  <si>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</si>
  <si>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</si>
  <si>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</si>
  <si>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</si>
  <si>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</si>
  <si>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</si>
  <si>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</si>
  <si>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</si>
  <si>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</si>
  <si>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</si>
  <si>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</si>
  <si>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</si>
  <si>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</si>
  <si>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</si>
  <si>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</si>
  <si>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</si>
  <si>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</si>
  <si>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</si>
  <si>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</si>
  <si>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</si>
  <si>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</si>
  <si>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</si>
  <si>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</si>
  <si>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</si>
  <si>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</si>
  <si>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</si>
  <si>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</si>
  <si>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</si>
  <si>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</si>
  <si>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</si>
  <si>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</si>
  <si>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</si>
  <si>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</si>
  <si>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</si>
  <si>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</si>
  <si>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</si>
  <si>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</si>
  <si>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</si>
  <si>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</si>
  <si>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</si>
  <si>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</si>
  <si>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</si>
  <si>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</si>
  <si>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</si>
  <si>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</si>
  <si>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</si>
  <si>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</si>
  <si>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</si>
  <si>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</si>
  <si>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</si>
  <si>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</si>
  <si>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</si>
  <si>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</si>
  <si>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</si>
  <si>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</si>
  <si>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</si>
  <si>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</si>
  <si>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</si>
  <si>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</si>
  <si>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</si>
  <si>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</si>
  <si>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</si>
  <si>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</si>
  <si>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</si>
  <si>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</si>
  <si>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</si>
  <si>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</si>
  <si>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</si>
  <si>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</si>
  <si>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</si>
  <si>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</si>
  <si>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</si>
  <si>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</si>
  <si>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</si>
  <si>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</si>
  <si>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</si>
  <si>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</si>
  <si>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</si>
  <si>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</si>
  <si>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</si>
  <si>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</si>
  <si>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</si>
  <si>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</si>
  <si>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</si>
  <si>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</si>
  <si>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</si>
  <si>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</si>
  <si>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</si>
  <si>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</si>
  <si>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</si>
  <si>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</si>
  <si>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</si>
  <si>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</si>
  <si>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</si>
  <si>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</si>
  <si>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</si>
  <si>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</si>
  <si>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</si>
  <si>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</si>
  <si>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</si>
  <si>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</si>
  <si>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</si>
  <si>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</si>
  <si>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</si>
  <si>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</si>
  <si>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</si>
  <si>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</si>
  <si>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</si>
  <si>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</si>
  <si>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</si>
  <si>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</si>
  <si>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</si>
  <si>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</si>
  <si>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</si>
  <si>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</si>
  <si>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</si>
  <si>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</si>
  <si>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</si>
  <si>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</si>
  <si>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</si>
  <si>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</si>
  <si>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</si>
  <si>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</si>
  <si>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</si>
  <si>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</si>
  <si>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</si>
  <si>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</si>
  <si>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</si>
  <si>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</si>
  <si>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</si>
  <si>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</si>
  <si>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</si>
  <si>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</si>
  <si>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</si>
  <si>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</si>
  <si>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</si>
  <si>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</si>
  <si>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</si>
  <si>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</si>
  <si>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</si>
  <si>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</si>
  <si>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</si>
  <si>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</si>
  <si>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</si>
  <si>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</si>
  <si>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</si>
  <si>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</si>
  <si>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</si>
  <si>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</si>
  <si>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</si>
  <si>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</si>
  <si>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</si>
  <si>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</si>
  <si>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</si>
  <si>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</si>
  <si>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</si>
  <si>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</si>
  <si>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</si>
  <si>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</si>
  <si>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</si>
  <si>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</si>
  <si>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</si>
  <si>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</si>
  <si>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</si>
  <si>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</si>
  <si>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</si>
  <si>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</si>
  <si>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</si>
  <si>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</si>
  <si>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</si>
  <si>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</si>
  <si>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</si>
  <si>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</si>
  <si>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</si>
  <si>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</si>
  <si>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</si>
  <si>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</si>
  <si>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</si>
  <si>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</si>
  <si>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</si>
  <si>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</si>
  <si>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</si>
  <si>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</si>
  <si>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</si>
  <si>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</si>
  <si>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</si>
  <si>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</si>
  <si>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</si>
  <si>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</si>
  <si>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</si>
  <si>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</si>
  <si>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</si>
  <si>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</si>
  <si>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</si>
  <si>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</si>
  <si>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</si>
  <si>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</si>
  <si>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</si>
  <si>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</si>
  <si>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</si>
  <si>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</si>
  <si>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</si>
  <si>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</si>
  <si>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</si>
  <si>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</si>
  <si>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</si>
  <si>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</si>
  <si>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</si>
  <si>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</si>
  <si>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</si>
  <si>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</si>
  <si>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</si>
  <si>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</si>
  <si>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</si>
  <si>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</si>
  <si>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</si>
  <si>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</si>
  <si>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</si>
  <si>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</si>
  <si>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</si>
  <si>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</si>
  <si>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</si>
  <si>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</si>
  <si>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</si>
  <si>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</si>
  <si>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</si>
  <si>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</si>
  <si>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</si>
  <si>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</si>
  <si>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</si>
  <si>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</si>
  <si>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</si>
  <si>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</si>
  <si>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</si>
  <si>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</si>
  <si>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</si>
  <si>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</si>
  <si>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</si>
  <si>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</si>
  <si>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</si>
  <si>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</si>
  <si>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</si>
  <si>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</si>
  <si>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</si>
  <si>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</si>
  <si>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</si>
  <si>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</si>
  <si>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</si>
  <si>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</si>
  <si>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</si>
  <si>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</si>
  <si>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</si>
  <si>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</si>
  <si>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</si>
  <si>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</si>
  <si>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</si>
  <si>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</si>
  <si>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</si>
  <si>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</si>
  <si>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</si>
  <si>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</si>
  <si>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</si>
  <si>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</si>
  <si>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</si>
  <si>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</si>
  <si>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</si>
  <si>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</si>
  <si>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</si>
  <si>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</si>
  <si>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</si>
  <si>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</si>
  <si>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</si>
  <si>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</si>
  <si>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</si>
  <si>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</si>
  <si>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</si>
  <si>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</si>
  <si>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</si>
  <si>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</si>
  <si>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</si>
  <si>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</si>
  <si>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</si>
  <si>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</si>
  <si>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</si>
  <si>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</si>
  <si>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</si>
  <si>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</si>
  <si>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</si>
  <si>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</si>
  <si>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</si>
  <si>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</si>
  <si>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</si>
  <si>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</si>
  <si>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</si>
  <si>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</si>
  <si>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</si>
  <si>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</si>
  <si>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</si>
  <si>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</si>
  <si>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</si>
  <si>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</si>
  <si>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</si>
  <si>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</si>
  <si>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</si>
  <si>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</si>
  <si>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</si>
  <si>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</si>
  <si>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</si>
  <si>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</si>
  <si>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</si>
  <si>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</si>
  <si>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</si>
  <si>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</si>
  <si>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</si>
  <si>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</si>
  <si>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</si>
  <si>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</si>
  <si>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</si>
  <si>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</si>
  <si>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</si>
  <si>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</si>
  <si>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</si>
  <si>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</si>
  <si>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</si>
  <si>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</si>
  <si>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</si>
  <si>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</si>
  <si>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</si>
  <si>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</si>
  <si>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</si>
  <si>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</si>
  <si>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</si>
  <si>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</si>
  <si>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</si>
  <si>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</si>
  <si>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</si>
  <si>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</si>
  <si>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</si>
  <si>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</si>
  <si>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</si>
  <si>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</si>
  <si>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</si>
  <si>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</si>
  <si>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</si>
  <si>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</si>
  <si>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</si>
  <si>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</si>
  <si>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</si>
  <si>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</si>
  <si>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</si>
  <si>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</si>
  <si>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</si>
  <si>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</si>
  <si>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</si>
  <si>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</si>
  <si>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</si>
  <si>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</si>
  <si>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</si>
  <si>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</si>
  <si>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</si>
  <si>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</si>
  <si>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</si>
  <si>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</si>
  <si>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</si>
  <si>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</si>
  <si>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</si>
  <si>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</si>
  <si>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</si>
  <si>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</si>
  <si>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</si>
  <si>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</si>
  <si>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</si>
  <si>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</si>
  <si>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</si>
  <si>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</si>
  <si>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</si>
  <si>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</si>
  <si>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</si>
  <si>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</si>
  <si>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</si>
  <si>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</si>
  <si>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</si>
  <si>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</si>
  <si>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</si>
  <si>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</si>
  <si>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</si>
  <si>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</si>
  <si>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</si>
  <si>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</si>
  <si>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</si>
  <si>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</si>
  <si>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</si>
  <si>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</si>
  <si>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</si>
  <si>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</si>
  <si>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</si>
  <si>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</si>
  <si>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</si>
  <si>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</si>
  <si>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</si>
  <si>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</si>
  <si>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</si>
  <si>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</si>
  <si>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</si>
  <si>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</si>
  <si>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</si>
  <si>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</si>
  <si>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</si>
  <si>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</si>
  <si>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</si>
  <si>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</si>
  <si>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</si>
  <si>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</si>
  <si>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</si>
  <si>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</si>
  <si>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</si>
  <si>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</si>
  <si>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</si>
  <si>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</si>
  <si>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</si>
  <si>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</si>
  <si>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</si>
  <si>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</si>
  <si>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</si>
  <si>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</si>
  <si>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</si>
  <si>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</si>
  <si>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</si>
  <si>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</si>
  <si>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</si>
  <si>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</si>
  <si>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</si>
  <si>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</si>
  <si>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</si>
  <si>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</si>
  <si>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</si>
  <si>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</si>
  <si>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</si>
  <si>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</si>
  <si>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</si>
  <si>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</si>
  <si>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</si>
  <si>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</si>
  <si>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</si>
  <si>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</si>
  <si>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</si>
  <si>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</si>
  <si>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</si>
  <si>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</si>
  <si>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</si>
  <si>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</si>
  <si>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</si>
  <si>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</si>
  <si>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</si>
  <si>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</si>
  <si>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</si>
  <si>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</si>
  <si>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</si>
  <si>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</si>
  <si>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</si>
  <si>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</si>
  <si>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</si>
  <si>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</si>
  <si>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</si>
  <si>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</si>
  <si>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</si>
  <si>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</si>
  <si>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</si>
  <si>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</si>
  <si>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</si>
  <si>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</si>
  <si>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</si>
  <si>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</si>
  <si>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</si>
  <si>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</si>
  <si>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</si>
  <si>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</si>
  <si>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</si>
  <si>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</si>
  <si>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</si>
  <si>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</si>
  <si>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</si>
  <si>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</si>
  <si>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</si>
  <si>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</si>
  <si>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</si>
  <si>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</si>
  <si>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</si>
  <si>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</si>
  <si>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</si>
  <si>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</si>
  <si>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</si>
  <si>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</si>
  <si>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</si>
  <si>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</si>
  <si>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</si>
  <si>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IVKOM D.D.</t>
  </si>
  <si>
    <t>31407797858</t>
  </si>
  <si>
    <t>03136906</t>
  </si>
  <si>
    <t>070000553</t>
  </si>
  <si>
    <t>IVANEC</t>
  </si>
  <si>
    <t>V. Nazora 96 B</t>
  </si>
  <si>
    <t>ivkom@ivkom.hr</t>
  </si>
  <si>
    <t>www.ivkom.hr</t>
  </si>
  <si>
    <t>042/770-550</t>
  </si>
  <si>
    <t>Brankica Kušen</t>
  </si>
  <si>
    <t>042770573</t>
  </si>
  <si>
    <t>brankica@ivkom.hr</t>
  </si>
  <si>
    <t>Rajh Edo</t>
  </si>
  <si>
    <t>HSFI</t>
  </si>
  <si>
    <t>41748200389</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</si>
</sst>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971145.54</v>
      </c>
      <c r="I3" s="27">
        <f>ABS(ROUND(J3,0)-J3)+ABS(ROUND(K3,0)-K3)</f>
        <v>0</v>
      </c>
      <c r="J3" s="27">
        <f>Bilanca!I10</f>
        <v>15855331</v>
      </c>
      <c r="K3" s="27">
        <f>Bilanca!J10</f>
        <v>16350973</v>
      </c>
    </row>
    <row r="4" spans="1:11" ht="12.75">
      <c r="A4" s="4" t="s">
        <v>2697</v>
      </c>
      <c r="B4" s="25" t="s">
        <v>364</v>
      </c>
      <c r="D4" s="4" t="s">
        <v>554</v>
      </c>
      <c r="E4" s="4">
        <v>1</v>
      </c>
      <c r="F4" s="4">
        <f>Bilanca!G11</f>
        <v>3</v>
      </c>
      <c r="G4" s="4">
        <f>IF(Bilanca!H11=0,"",Bilanca!H11)</f>
      </c>
      <c r="H4" s="26">
        <f>J4/100*F4+2*K4/100*F4</f>
        <v>58294.26</v>
      </c>
      <c r="I4" s="27">
        <f>ABS(ROUND(J4,0)-J4)+ABS(ROUND(K4,0)-K4)</f>
        <v>0</v>
      </c>
      <c r="J4" s="27">
        <f>Bilanca!I11</f>
        <v>652980</v>
      </c>
      <c r="K4" s="27">
        <f>Bilanca!J11</f>
        <v>645081</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03136906</v>
      </c>
      <c r="D6" s="4" t="s">
        <v>554</v>
      </c>
      <c r="E6" s="4">
        <v>1</v>
      </c>
      <c r="F6" s="4">
        <f>Bilanca!G13</f>
        <v>5</v>
      </c>
      <c r="G6" s="4">
        <f>IF(Bilanca!H13=0,"",Bilanca!H13)</f>
      </c>
      <c r="H6" s="26">
        <f aca="true" t="shared" si="0" ref="H6:H45">J6/100*F6+2*K6/100*F6</f>
        <v>472.70000000000005</v>
      </c>
      <c r="I6" s="27">
        <f aca="true" t="shared" si="1" ref="I6:I45">ABS(ROUND(J6,0)-J6)+ABS(ROUND(K6,0)-K6)</f>
        <v>0</v>
      </c>
      <c r="J6" s="27">
        <f>Bilanca!I13</f>
        <v>5620</v>
      </c>
      <c r="K6" s="27">
        <f>Bilanca!J13</f>
        <v>1917</v>
      </c>
    </row>
    <row r="7" spans="1:11" ht="12.75">
      <c r="A7" s="4" t="s">
        <v>1561</v>
      </c>
      <c r="B7" s="25" t="str">
        <f>RefStr!M27</f>
        <v>070000553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31407797858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 D.D.</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174031.92</v>
      </c>
      <c r="I10" s="27">
        <f t="shared" si="1"/>
        <v>0</v>
      </c>
      <c r="J10" s="27">
        <f>Bilanca!I17</f>
        <v>647360</v>
      </c>
      <c r="K10" s="27">
        <f>Bilanca!J17</f>
        <v>643164</v>
      </c>
    </row>
    <row r="11" spans="1:11" ht="12.75">
      <c r="A11" s="4" t="s">
        <v>2737</v>
      </c>
      <c r="B11" s="25" t="str">
        <f>TRIM(RefStr!F31)</f>
        <v>IVANEC</v>
      </c>
      <c r="D11" s="4" t="s">
        <v>554</v>
      </c>
      <c r="E11" s="4">
        <v>1</v>
      </c>
      <c r="F11" s="4">
        <f>Bilanca!G18</f>
        <v>10</v>
      </c>
      <c r="G11" s="4">
        <f>IF(Bilanca!H18=0,"",Bilanca!H18)</f>
      </c>
      <c r="H11" s="26">
        <f t="shared" si="0"/>
        <v>3973850.7</v>
      </c>
      <c r="I11" s="27">
        <f t="shared" si="1"/>
        <v>0</v>
      </c>
      <c r="J11" s="27">
        <f>Bilanca!I18</f>
        <v>12910475</v>
      </c>
      <c r="K11" s="27">
        <f>Bilanca!J18</f>
        <v>13414016</v>
      </c>
    </row>
    <row r="12" spans="1:11" ht="12.75">
      <c r="A12" s="4" t="s">
        <v>2738</v>
      </c>
      <c r="B12" s="25" t="str">
        <f>TRIM(RefStr!C33)</f>
        <v>V. Nazora 96 B</v>
      </c>
      <c r="D12" s="4" t="s">
        <v>554</v>
      </c>
      <c r="E12" s="4">
        <v>1</v>
      </c>
      <c r="F12" s="4">
        <f>Bilanca!G19</f>
        <v>11</v>
      </c>
      <c r="G12" s="4">
        <f>IF(Bilanca!H19=0,"",Bilanca!H19)</f>
      </c>
      <c r="H12" s="26">
        <f t="shared" si="0"/>
        <v>5848.26</v>
      </c>
      <c r="I12" s="27">
        <f t="shared" si="1"/>
        <v>0</v>
      </c>
      <c r="J12" s="27">
        <f>Bilanca!I19</f>
        <v>17722</v>
      </c>
      <c r="K12" s="27">
        <f>Bilanca!J19</f>
        <v>17722</v>
      </c>
    </row>
    <row r="13" spans="1:11" ht="12.75">
      <c r="A13" s="4" t="s">
        <v>2884</v>
      </c>
      <c r="B13" s="25" t="str">
        <f>TRIM(RefStr!C35)</f>
        <v>ivkom@ivkom.hr</v>
      </c>
      <c r="D13" s="4" t="s">
        <v>554</v>
      </c>
      <c r="E13" s="4">
        <v>1</v>
      </c>
      <c r="F13" s="4">
        <f>Bilanca!G20</f>
        <v>12</v>
      </c>
      <c r="G13" s="4">
        <f>IF(Bilanca!H20=0,"",Bilanca!H20)</f>
      </c>
      <c r="H13" s="26">
        <f t="shared" si="0"/>
        <v>3310293.24</v>
      </c>
      <c r="I13" s="27">
        <f t="shared" si="1"/>
        <v>0</v>
      </c>
      <c r="J13" s="27">
        <f>Bilanca!I20</f>
        <v>10019983</v>
      </c>
      <c r="K13" s="27">
        <f>Bilanca!J20</f>
        <v>8782897</v>
      </c>
    </row>
    <row r="14" spans="1:11" ht="12.75">
      <c r="A14" s="4" t="s">
        <v>2885</v>
      </c>
      <c r="B14" s="25" t="str">
        <f>TRIM(RefStr!C37)</f>
        <v>www.ivkom.hr</v>
      </c>
      <c r="D14" s="4" t="s">
        <v>554</v>
      </c>
      <c r="E14" s="4">
        <v>1</v>
      </c>
      <c r="F14" s="4">
        <f>Bilanca!G21</f>
        <v>13</v>
      </c>
      <c r="G14" s="4">
        <f>IF(Bilanca!H21=0,"",Bilanca!H21)</f>
      </c>
      <c r="H14" s="26">
        <f t="shared" si="0"/>
        <v>160176.12</v>
      </c>
      <c r="I14" s="27">
        <f t="shared" si="1"/>
        <v>0</v>
      </c>
      <c r="J14" s="27">
        <f>Bilanca!I21</f>
        <v>429488</v>
      </c>
      <c r="K14" s="27">
        <f>Bilanca!J21</f>
        <v>401318</v>
      </c>
    </row>
    <row r="15" spans="1:11" ht="12.75">
      <c r="A15" s="4" t="s">
        <v>2741</v>
      </c>
      <c r="B15" s="25" t="str">
        <f>TEXT(RefStr!J39,"00")</f>
        <v>05</v>
      </c>
      <c r="D15" s="4" t="s">
        <v>554</v>
      </c>
      <c r="E15" s="4">
        <v>1</v>
      </c>
      <c r="F15" s="4">
        <f>Bilanca!G22</f>
        <v>14</v>
      </c>
      <c r="G15" s="4">
        <f>IF(Bilanca!H22=0,"",Bilanca!H22)</f>
      </c>
      <c r="H15" s="26">
        <f t="shared" si="0"/>
        <v>1120277.48</v>
      </c>
      <c r="I15" s="27">
        <f t="shared" si="1"/>
        <v>0</v>
      </c>
      <c r="J15" s="27">
        <f>Bilanca!I22</f>
        <v>1505454</v>
      </c>
      <c r="K15" s="27">
        <f>Bilanca!J22</f>
        <v>3248264</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487127.86</v>
      </c>
      <c r="I18" s="27">
        <f t="shared" si="1"/>
        <v>0</v>
      </c>
      <c r="J18" s="27">
        <f>Bilanca!I25</f>
        <v>937828</v>
      </c>
      <c r="K18" s="27">
        <f>Bilanca!J25</f>
        <v>963815</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1375125.5999999999</v>
      </c>
      <c r="I21" s="27">
        <f t="shared" si="1"/>
        <v>0</v>
      </c>
      <c r="J21" s="27">
        <f>Bilanca!I28</f>
        <v>2291876</v>
      </c>
      <c r="K21" s="27">
        <f>Bilanca!J28</f>
        <v>2291876</v>
      </c>
    </row>
    <row r="22" spans="1:11" ht="12.75">
      <c r="A22" s="4" t="s">
        <v>2890</v>
      </c>
      <c r="B22" s="25">
        <f>RefStr!C52</f>
        <v>11</v>
      </c>
      <c r="D22" s="4" t="s">
        <v>554</v>
      </c>
      <c r="E22" s="4">
        <v>1</v>
      </c>
      <c r="F22" s="4">
        <f>Bilanca!G29</f>
        <v>21</v>
      </c>
      <c r="G22" s="4">
        <f>IF(Bilanca!H29=0,"",Bilanca!H29)</f>
      </c>
      <c r="H22" s="26">
        <f t="shared" si="0"/>
        <v>1443881.88</v>
      </c>
      <c r="I22" s="27">
        <f t="shared" si="1"/>
        <v>0</v>
      </c>
      <c r="J22" s="27">
        <f>Bilanca!I29</f>
        <v>2291876</v>
      </c>
      <c r="K22" s="27">
        <f>Bilanca!J29</f>
        <v>2291876</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83</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87</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73</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77</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11223420.9</v>
      </c>
      <c r="I38" s="27">
        <f t="shared" si="1"/>
        <v>0</v>
      </c>
      <c r="J38" s="27">
        <f>Bilanca!I45</f>
        <v>10315992</v>
      </c>
      <c r="K38" s="27">
        <f>Bilanca!J45</f>
        <v>10008789</v>
      </c>
    </row>
    <row r="39" spans="1:11" ht="12.75">
      <c r="A39" s="4" t="s">
        <v>1611</v>
      </c>
      <c r="B39" s="25" t="str">
        <f>RefStr!C68</f>
        <v>Brankica Kušen</v>
      </c>
      <c r="D39" s="4" t="s">
        <v>554</v>
      </c>
      <c r="E39" s="4">
        <v>1</v>
      </c>
      <c r="F39" s="4">
        <f>Bilanca!G46</f>
        <v>38</v>
      </c>
      <c r="G39" s="4">
        <f>IF(Bilanca!H46=0,"",Bilanca!H46)</f>
      </c>
      <c r="H39" s="26">
        <f t="shared" si="0"/>
        <v>430835.64</v>
      </c>
      <c r="I39" s="27">
        <f t="shared" si="1"/>
        <v>0</v>
      </c>
      <c r="J39" s="27">
        <f>Bilanca!I46</f>
        <v>436456</v>
      </c>
      <c r="K39" s="27">
        <f>Bilanca!J46</f>
        <v>348661</v>
      </c>
    </row>
    <row r="40" spans="1:11" ht="12.75">
      <c r="A40" s="4" t="s">
        <v>1612</v>
      </c>
      <c r="B40" s="25" t="str">
        <f>TRIM(RefStr!C70)</f>
        <v>042770573</v>
      </c>
      <c r="D40" s="4" t="s">
        <v>554</v>
      </c>
      <c r="E40" s="4">
        <v>1</v>
      </c>
      <c r="F40" s="4">
        <f>Bilanca!G47</f>
        <v>39</v>
      </c>
      <c r="G40" s="4">
        <f>IF(Bilanca!H47=0,"",Bilanca!H47)</f>
      </c>
      <c r="H40" s="26">
        <f t="shared" si="0"/>
        <v>310072.62</v>
      </c>
      <c r="I40" s="27">
        <f t="shared" si="1"/>
        <v>0</v>
      </c>
      <c r="J40" s="27">
        <f>Bilanca!I47</f>
        <v>325182</v>
      </c>
      <c r="K40" s="27">
        <f>Bilanca!J47</f>
        <v>234938</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brankica@ivkom.hr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Rajh Edo</v>
      </c>
      <c r="D43" s="4" t="s">
        <v>554</v>
      </c>
      <c r="E43" s="4">
        <v>1</v>
      </c>
      <c r="F43" s="4">
        <f>Bilanca!G50</f>
        <v>42</v>
      </c>
      <c r="G43" s="4">
        <f>IF(Bilanca!H50=0,"",Bilanca!H50)</f>
      </c>
      <c r="H43" s="26">
        <f t="shared" si="0"/>
        <v>142262.40000000002</v>
      </c>
      <c r="I43" s="27">
        <f t="shared" si="1"/>
        <v>0</v>
      </c>
      <c r="J43" s="27">
        <f>Bilanca!I50</f>
        <v>111274</v>
      </c>
      <c r="K43" s="27">
        <f>Bilanca!J50</f>
        <v>113723</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4595143.32</v>
      </c>
      <c r="I47" s="27">
        <f t="shared" si="3"/>
        <v>0</v>
      </c>
      <c r="J47" s="27">
        <f>Bilanca!I54</f>
        <v>3621190</v>
      </c>
      <c r="K47" s="27">
        <f>Bilanca!J54</f>
        <v>3184126</v>
      </c>
    </row>
    <row r="48" spans="1:11" ht="12.75">
      <c r="A48" s="4" t="s">
        <v>2226</v>
      </c>
      <c r="B48" s="25" t="str">
        <f>RefStr!I54</f>
        <v>NE</v>
      </c>
      <c r="D48" s="4" t="s">
        <v>554</v>
      </c>
      <c r="E48" s="4">
        <v>1</v>
      </c>
      <c r="F48" s="4">
        <f>Bilanca!G55</f>
        <v>47</v>
      </c>
      <c r="G48" s="4">
        <f>IF(Bilanca!H55=0,"",Bilanca!H55)</f>
      </c>
      <c r="H48" s="26">
        <f t="shared" si="2"/>
        <v>114738.28</v>
      </c>
      <c r="I48" s="27">
        <f t="shared" si="3"/>
        <v>0</v>
      </c>
      <c r="J48" s="27">
        <f>Bilanca!I55</f>
        <v>95162</v>
      </c>
      <c r="K48" s="27">
        <f>Bilanca!J55</f>
        <v>74481</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4614080.59</v>
      </c>
      <c r="I50" s="27">
        <f t="shared" si="3"/>
        <v>0</v>
      </c>
      <c r="J50" s="27">
        <f>Bilanca!I57</f>
        <v>3495923</v>
      </c>
      <c r="K50" s="27">
        <f>Bilanca!J57</f>
        <v>2960284</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161157.44999999998</v>
      </c>
      <c r="I52" s="27">
        <f t="shared" si="3"/>
        <v>0</v>
      </c>
      <c r="J52" s="27">
        <f>Bilanca!I59</f>
        <v>20105</v>
      </c>
      <c r="K52" s="27">
        <f>Bilanca!J59</f>
        <v>147945</v>
      </c>
    </row>
    <row r="53" spans="1:11" ht="12.75">
      <c r="A53" s="4" t="s">
        <v>1301</v>
      </c>
      <c r="B53" s="25" t="str">
        <f>RefStr!I56</f>
        <v>DA</v>
      </c>
      <c r="D53" s="4" t="s">
        <v>554</v>
      </c>
      <c r="E53" s="4">
        <v>1</v>
      </c>
      <c r="F53" s="4">
        <f>Bilanca!G60</f>
        <v>52</v>
      </c>
      <c r="G53" s="4">
        <f>IF(Bilanca!H60=0,"",Bilanca!H60)</f>
      </c>
      <c r="H53" s="26">
        <f t="shared" si="2"/>
        <v>6672.64</v>
      </c>
      <c r="I53" s="27">
        <f t="shared" si="3"/>
        <v>0</v>
      </c>
      <c r="J53" s="27">
        <f>Bilanca!I60</f>
        <v>10000</v>
      </c>
      <c r="K53" s="27">
        <f>Bilanca!J60</f>
        <v>1416</v>
      </c>
    </row>
    <row r="54" spans="1:11" ht="12.75">
      <c r="A54" s="4" t="s">
        <v>1302</v>
      </c>
      <c r="B54" s="25" t="str">
        <f>RefStr!I62</f>
        <v>DA</v>
      </c>
      <c r="D54" s="4" t="s">
        <v>554</v>
      </c>
      <c r="E54" s="4">
        <v>1</v>
      </c>
      <c r="F54" s="4">
        <f>Bilanca!G61</f>
        <v>53</v>
      </c>
      <c r="G54" s="4">
        <f>IF(Bilanca!H61=0,"",Bilanca!H61)</f>
      </c>
      <c r="H54" s="26">
        <f t="shared" si="2"/>
        <v>886089.5100000001</v>
      </c>
      <c r="I54" s="27">
        <f t="shared" si="3"/>
        <v>0</v>
      </c>
      <c r="J54" s="27">
        <f>Bilanca!I61</f>
        <v>627289</v>
      </c>
      <c r="K54" s="27">
        <f>Bilanca!J61</f>
        <v>522289</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1575847382.7000003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1019838.8700000001</v>
      </c>
      <c r="I62" s="27">
        <f t="shared" si="3"/>
        <v>0</v>
      </c>
      <c r="J62" s="27">
        <f>Bilanca!I69</f>
        <v>627289</v>
      </c>
      <c r="K62" s="27">
        <f>Bilanca!J69</f>
        <v>522289</v>
      </c>
    </row>
    <row r="63" spans="1:11" ht="12.75">
      <c r="A63" s="4" t="s">
        <v>614</v>
      </c>
      <c r="B63" s="25" t="str">
        <f>IF(ISNUMBER(VALUE(RefStr!L21)),TEXT(INT(VALUE(RefStr!L21)),"00000000000"),"")</f>
        <v>41748200389</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11049244.29</v>
      </c>
      <c r="I64" s="27">
        <f t="shared" si="3"/>
        <v>0</v>
      </c>
      <c r="J64" s="27">
        <f>Bilanca!I71</f>
        <v>5631057</v>
      </c>
      <c r="K64" s="27">
        <f>Bilanca!J71</f>
        <v>5953713</v>
      </c>
    </row>
    <row r="65" spans="1:11" ht="12.75">
      <c r="A65" s="4" t="s">
        <v>923</v>
      </c>
      <c r="B65" s="25" t="str">
        <f>TRIM(RefStr!N19)</f>
        <v>HSFI</v>
      </c>
      <c r="D65" s="4" t="s">
        <v>554</v>
      </c>
      <c r="E65" s="4">
        <v>1</v>
      </c>
      <c r="F65" s="4">
        <f>Bilanca!G72</f>
        <v>64</v>
      </c>
      <c r="G65" s="4">
        <f>IF(Bilanca!H72=0,"",Bilanca!H72)</f>
      </c>
      <c r="H65" s="26">
        <f t="shared" si="2"/>
        <v>60270.08</v>
      </c>
      <c r="I65" s="27">
        <f t="shared" si="3"/>
        <v>0</v>
      </c>
      <c r="J65" s="27">
        <f>Bilanca!I72</f>
        <v>31816</v>
      </c>
      <c r="K65" s="27">
        <f>Bilanca!J72</f>
        <v>31178</v>
      </c>
    </row>
    <row r="66" spans="1:11" ht="12.75">
      <c r="A66" s="4" t="s">
        <v>924</v>
      </c>
      <c r="B66" s="25">
        <f>RefStr!C23</f>
        <v>1</v>
      </c>
      <c r="D66" s="4" t="s">
        <v>554</v>
      </c>
      <c r="E66" s="4">
        <v>1</v>
      </c>
      <c r="F66" s="4">
        <f>Bilanca!G73</f>
        <v>65</v>
      </c>
      <c r="G66" s="4">
        <f>IF(Bilanca!H73=0,"",Bilanca!H73)</f>
      </c>
      <c r="H66" s="26">
        <f t="shared" si="2"/>
        <v>51340262.35</v>
      </c>
      <c r="I66" s="27">
        <f t="shared" si="3"/>
        <v>0</v>
      </c>
      <c r="J66" s="27">
        <f>Bilanca!I73</f>
        <v>26203139</v>
      </c>
      <c r="K66" s="27">
        <f>Bilanca!J73</f>
        <v>26390940</v>
      </c>
    </row>
    <row r="67" spans="1:11" ht="12.75">
      <c r="A67" s="4" t="s">
        <v>925</v>
      </c>
      <c r="B67" s="25" t="str">
        <f>TRIM(RefStr!L35)</f>
        <v>042/770-550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7</v>
      </c>
      <c r="D68" s="4" t="s">
        <v>554</v>
      </c>
      <c r="E68" s="4">
        <v>1</v>
      </c>
      <c r="F68" s="4">
        <f>Bilanca!G76</f>
        <v>67</v>
      </c>
      <c r="G68" s="4">
        <f>IF(Bilanca!H76=0,"",Bilanca!H76)</f>
      </c>
      <c r="H68" s="26">
        <f t="shared" si="2"/>
        <v>28771373.159999996</v>
      </c>
      <c r="I68" s="27">
        <f t="shared" si="3"/>
        <v>0</v>
      </c>
      <c r="J68" s="27">
        <f>Bilanca!I76</f>
        <v>14267762</v>
      </c>
      <c r="K68" s="27">
        <f>Bilanca!J76</f>
        <v>14337293</v>
      </c>
    </row>
    <row r="69" spans="1:11" ht="12.75">
      <c r="A69" s="4" t="s">
        <v>927</v>
      </c>
      <c r="B69" s="25">
        <f>TRIM(RefStr!M46)</f>
      </c>
      <c r="D69" s="4" t="s">
        <v>554</v>
      </c>
      <c r="E69" s="4">
        <v>1</v>
      </c>
      <c r="F69" s="4">
        <f>Bilanca!G77</f>
        <v>68</v>
      </c>
      <c r="G69" s="4">
        <f>IF(Bilanca!H77=0,"",Bilanca!H77)</f>
      </c>
      <c r="H69" s="26">
        <f t="shared" si="2"/>
        <v>21446132.400000002</v>
      </c>
      <c r="I69" s="27">
        <f t="shared" si="3"/>
        <v>0</v>
      </c>
      <c r="J69" s="27">
        <f>Bilanca!I77</f>
        <v>10512810</v>
      </c>
      <c r="K69" s="27">
        <f>Bilanca!J77</f>
        <v>10512810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6219276.7</v>
      </c>
      <c r="I71" s="27">
        <f t="shared" si="3"/>
        <v>0</v>
      </c>
      <c r="J71" s="27">
        <f>Bilanca!I79</f>
        <v>2955955</v>
      </c>
      <c r="K71" s="27">
        <f>Bilanca!J79</f>
        <v>2964363</v>
      </c>
    </row>
    <row r="72" spans="4:11" ht="12.75">
      <c r="D72" s="4" t="s">
        <v>554</v>
      </c>
      <c r="E72" s="4">
        <v>1</v>
      </c>
      <c r="F72" s="4">
        <f>Bilanca!G80</f>
        <v>71</v>
      </c>
      <c r="G72" s="4">
        <f>IF(Bilanca!H80=0,"",Bilanca!H80)</f>
      </c>
      <c r="H72" s="26">
        <f t="shared" si="2"/>
        <v>139230.29</v>
      </c>
      <c r="I72" s="27">
        <f t="shared" si="3"/>
        <v>0</v>
      </c>
      <c r="J72" s="27">
        <f>Bilanca!I80</f>
        <v>59761</v>
      </c>
      <c r="K72" s="27">
        <f>Bilanca!J80</f>
        <v>68169</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6516436.5</v>
      </c>
      <c r="I76" s="27">
        <f t="shared" si="3"/>
        <v>0</v>
      </c>
      <c r="J76" s="27">
        <f>Bilanca!I84</f>
        <v>2896194</v>
      </c>
      <c r="K76" s="27">
        <f>Bilanca!J84</f>
        <v>2896194</v>
      </c>
    </row>
    <row r="77" spans="4:11" ht="12.75">
      <c r="D77" s="4" t="s">
        <v>554</v>
      </c>
      <c r="E77" s="4">
        <v>1</v>
      </c>
      <c r="F77" s="4">
        <f>Bilanca!G85</f>
        <v>76</v>
      </c>
      <c r="G77" s="4">
        <f>IF(Bilanca!H85=0,"",Bilanca!H85)</f>
      </c>
      <c r="H77" s="26">
        <f t="shared" si="2"/>
        <v>794276.76</v>
      </c>
      <c r="I77" s="27">
        <f t="shared" si="3"/>
        <v>0</v>
      </c>
      <c r="J77" s="27">
        <f>Bilanca!I85</f>
        <v>348367</v>
      </c>
      <c r="K77" s="27">
        <f>Bilanca!J85</f>
        <v>348367</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1032547.39</v>
      </c>
      <c r="I84" s="27">
        <f t="shared" si="3"/>
        <v>0</v>
      </c>
      <c r="J84" s="27">
        <f>Bilanca!I92</f>
        <v>359589</v>
      </c>
      <c r="K84" s="27">
        <f>Bilanca!J92</f>
        <v>442222</v>
      </c>
    </row>
    <row r="85" spans="4:11" ht="12.75">
      <c r="D85" s="4" t="s">
        <v>554</v>
      </c>
      <c r="E85" s="4">
        <v>1</v>
      </c>
      <c r="F85" s="4">
        <f>Bilanca!G93</f>
        <v>84</v>
      </c>
      <c r="G85" s="4">
        <f>IF(Bilanca!H93=0,"",Bilanca!H93)</f>
      </c>
      <c r="H85" s="26">
        <f t="shared" si="2"/>
        <v>1044987.7200000001</v>
      </c>
      <c r="I85" s="27">
        <f t="shared" si="3"/>
        <v>0</v>
      </c>
      <c r="J85" s="27">
        <f>Bilanca!I93</f>
        <v>359589</v>
      </c>
      <c r="K85" s="27">
        <f>Bilanca!J93</f>
        <v>442222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197888.58</v>
      </c>
      <c r="I87" s="27">
        <f>ABS(ROUND(J87,0)-J87)+ABS(ROUND(K87,0)-K87)</f>
        <v>0</v>
      </c>
      <c r="J87" s="27">
        <f>Bilanca!I95</f>
        <v>91041</v>
      </c>
      <c r="K87" s="27">
        <f>Bilanca!J95</f>
        <v>69531</v>
      </c>
    </row>
    <row r="88" spans="4:11" ht="12.75">
      <c r="D88" s="4" t="s">
        <v>554</v>
      </c>
      <c r="E88" s="4">
        <v>1</v>
      </c>
      <c r="F88" s="4">
        <f>Bilanca!G96</f>
        <v>87</v>
      </c>
      <c r="G88" s="4">
        <f>IF(Bilanca!H96=0,"",Bilanca!H96)</f>
      </c>
      <c r="H88" s="26">
        <f>J88/100*F88+2*K88/100*F88</f>
        <v>200189.61</v>
      </c>
      <c r="I88" s="27">
        <f>ABS(ROUND(J88,0)-J88)+ABS(ROUND(K88,0)-K88)</f>
        <v>0</v>
      </c>
      <c r="J88" s="27">
        <f>Bilanca!I96</f>
        <v>91041</v>
      </c>
      <c r="K88" s="27">
        <f>Bilanca!J96</f>
        <v>69531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1612710.9000000001</v>
      </c>
      <c r="I91" s="27">
        <f t="shared" si="5"/>
        <v>0</v>
      </c>
      <c r="J91" s="27">
        <f>Bilanca!I99</f>
        <v>751581</v>
      </c>
      <c r="K91" s="27">
        <f>Bilanca!J99</f>
        <v>520160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1720224.96</v>
      </c>
      <c r="I97" s="27">
        <f t="shared" si="5"/>
        <v>0</v>
      </c>
      <c r="J97" s="27">
        <f>Bilanca!I105</f>
        <v>751581</v>
      </c>
      <c r="K97" s="27">
        <f>Bilanca!J105</f>
        <v>520160</v>
      </c>
    </row>
    <row r="98" spans="4:11" ht="12.75">
      <c r="D98" s="4" t="s">
        <v>554</v>
      </c>
      <c r="E98" s="4">
        <v>1</v>
      </c>
      <c r="F98" s="4">
        <f>Bilanca!G106</f>
        <v>97</v>
      </c>
      <c r="G98" s="4">
        <f>IF(Bilanca!H106=0,"",Bilanca!H106)</f>
      </c>
      <c r="H98" s="26">
        <f t="shared" si="4"/>
        <v>633498.27</v>
      </c>
      <c r="I98" s="27">
        <f t="shared" si="5"/>
        <v>0</v>
      </c>
      <c r="J98" s="27">
        <f>Bilanca!I106</f>
        <v>367741</v>
      </c>
      <c r="K98" s="27">
        <f>Bilanca!J106</f>
        <v>142675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672683.73</v>
      </c>
      <c r="I104" s="27">
        <f t="shared" si="5"/>
        <v>0</v>
      </c>
      <c r="J104" s="27">
        <f>Bilanca!I112</f>
        <v>367741</v>
      </c>
      <c r="K104" s="27">
        <f>Bilanca!J112</f>
        <v>142675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8022475.210000001</v>
      </c>
      <c r="I110" s="27">
        <f t="shared" si="5"/>
        <v>0</v>
      </c>
      <c r="J110" s="27">
        <f>Bilanca!I118</f>
        <v>2169377</v>
      </c>
      <c r="K110" s="27">
        <f>Bilanca!J118</f>
        <v>2595346</v>
      </c>
    </row>
    <row r="111" spans="4:11" ht="12.75">
      <c r="D111" s="4" t="s">
        <v>554</v>
      </c>
      <c r="E111" s="4">
        <v>1</v>
      </c>
      <c r="F111" s="4">
        <f>Bilanca!G119</f>
        <v>110</v>
      </c>
      <c r="G111" s="4">
        <f>IF(Bilanca!H119=0,"",Bilanca!H119)</f>
      </c>
      <c r="H111" s="26">
        <f t="shared" si="4"/>
        <v>4842.200000000001</v>
      </c>
      <c r="I111" s="27">
        <f t="shared" si="5"/>
        <v>0</v>
      </c>
      <c r="J111" s="27">
        <f>Bilanca!I119</f>
        <v>4402</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769339.65</v>
      </c>
      <c r="I116" s="27">
        <f t="shared" si="5"/>
        <v>0</v>
      </c>
      <c r="J116" s="27">
        <f>Bilanca!I124</f>
        <v>218859</v>
      </c>
      <c r="K116" s="27">
        <f>Bilanca!J124</f>
        <v>225066</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4211361.18</v>
      </c>
      <c r="I118" s="27">
        <f t="shared" si="5"/>
        <v>0</v>
      </c>
      <c r="J118" s="27">
        <f>Bilanca!I126</f>
        <v>851886</v>
      </c>
      <c r="K118" s="27">
        <f>Bilanca!J126</f>
        <v>1373784</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1923485.06</v>
      </c>
      <c r="I120" s="27">
        <f t="shared" si="5"/>
        <v>0</v>
      </c>
      <c r="J120" s="27">
        <f>Bilanca!I128</f>
        <v>458214</v>
      </c>
      <c r="K120" s="27">
        <f>Bilanca!J128</f>
        <v>579080</v>
      </c>
    </row>
    <row r="121" spans="4:11" ht="12.75">
      <c r="D121" s="4" t="s">
        <v>554</v>
      </c>
      <c r="E121" s="4">
        <v>1</v>
      </c>
      <c r="F121" s="4">
        <f>Bilanca!G129</f>
        <v>120</v>
      </c>
      <c r="G121" s="4">
        <f>IF(Bilanca!H129=0,"",Bilanca!H129)</f>
      </c>
      <c r="H121" s="26">
        <f t="shared" si="4"/>
        <v>1725417.5999999999</v>
      </c>
      <c r="I121" s="27">
        <f t="shared" si="5"/>
        <v>0</v>
      </c>
      <c r="J121" s="27">
        <f>Bilanca!I129</f>
        <v>625016</v>
      </c>
      <c r="K121" s="27">
        <f>Bilanca!J129</f>
        <v>406416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40590</v>
      </c>
      <c r="I124" s="27">
        <f t="shared" si="5"/>
        <v>0</v>
      </c>
      <c r="J124" s="27">
        <f>Bilanca!I132</f>
        <v>11000</v>
      </c>
      <c r="K124" s="27">
        <f>Bilanca!J132</f>
        <v>11000</v>
      </c>
    </row>
    <row r="125" spans="4:11" ht="12.75">
      <c r="D125" s="4" t="s">
        <v>554</v>
      </c>
      <c r="E125" s="4">
        <v>1</v>
      </c>
      <c r="F125" s="4">
        <f>Bilanca!G133</f>
        <v>124</v>
      </c>
      <c r="G125" s="4">
        <f>IF(Bilanca!H133=0,"",Bilanca!H133)</f>
      </c>
      <c r="H125" s="26">
        <f t="shared" si="4"/>
        <v>32534636.4</v>
      </c>
      <c r="I125" s="27">
        <f t="shared" si="5"/>
        <v>0</v>
      </c>
      <c r="J125" s="27">
        <f>Bilanca!I133</f>
        <v>8646678</v>
      </c>
      <c r="K125" s="27">
        <f>Bilanca!J133</f>
        <v>8795466</v>
      </c>
    </row>
    <row r="126" spans="4:11" ht="12.75">
      <c r="D126" s="4" t="s">
        <v>554</v>
      </c>
      <c r="E126" s="4">
        <v>1</v>
      </c>
      <c r="F126" s="4">
        <f>Bilanca!G134</f>
        <v>125</v>
      </c>
      <c r="G126" s="4">
        <f>IF(Bilanca!H134=0,"",Bilanca!H134)</f>
      </c>
      <c r="H126" s="26">
        <f t="shared" si="4"/>
        <v>98731273.75</v>
      </c>
      <c r="I126" s="27">
        <f t="shared" si="5"/>
        <v>0</v>
      </c>
      <c r="J126" s="27">
        <f>Bilanca!I134</f>
        <v>26203139</v>
      </c>
      <c r="K126" s="27">
        <f>Bilanca!J134</f>
        <v>26390940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66635767.160000004</v>
      </c>
      <c r="I128" s="4">
        <f t="shared" si="5"/>
        <v>0</v>
      </c>
      <c r="J128" s="27">
        <f>RDG!I8</f>
        <v>16950914</v>
      </c>
      <c r="K128" s="27">
        <f>RDG!J8</f>
        <v>17759097</v>
      </c>
    </row>
    <row r="129" spans="4:11" ht="12.75">
      <c r="D129" s="4" t="s">
        <v>794</v>
      </c>
      <c r="E129" s="4">
        <v>2</v>
      </c>
      <c r="F129" s="4">
        <f>RDG!G9</f>
        <v>128</v>
      </c>
      <c r="G129" s="4">
        <f>IF(RDG!H9=0,"",RDG!H9)</f>
      </c>
      <c r="H129" s="26">
        <f t="shared" si="4"/>
        <v>781596.16</v>
      </c>
      <c r="I129" s="4">
        <f t="shared" si="5"/>
        <v>0</v>
      </c>
      <c r="J129" s="27">
        <f>RDG!I9</f>
        <v>222688</v>
      </c>
      <c r="K129" s="27">
        <f>RDG!J9</f>
        <v>193967</v>
      </c>
    </row>
    <row r="130" spans="4:11" ht="12.75">
      <c r="D130" s="4" t="s">
        <v>794</v>
      </c>
      <c r="E130" s="4">
        <v>2</v>
      </c>
      <c r="F130" s="4">
        <f>RDG!G10</f>
        <v>129</v>
      </c>
      <c r="G130" s="4">
        <f>IF(RDG!H10=0,"",RDG!H10)</f>
      </c>
      <c r="H130" s="26">
        <f aca="true" t="shared" si="6" ref="H130:H192">J130/100*F130+2*K130/100*F130</f>
        <v>60758727.81</v>
      </c>
      <c r="I130" s="4">
        <f aca="true" t="shared" si="7" ref="I130:I192">ABS(ROUND(J130,0)-J130)+ABS(ROUND(K130,0)-K130)</f>
        <v>0</v>
      </c>
      <c r="J130" s="27">
        <f>RDG!I10</f>
        <v>15525417</v>
      </c>
      <c r="K130" s="27">
        <f>RDG!J10</f>
        <v>15787186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6281480.039999999</v>
      </c>
      <c r="I133" s="4">
        <f t="shared" si="7"/>
        <v>0</v>
      </c>
      <c r="J133" s="27">
        <f>RDG!I13</f>
        <v>1202809</v>
      </c>
      <c r="K133" s="27">
        <f>RDG!J13</f>
        <v>1777944</v>
      </c>
    </row>
    <row r="134" spans="4:11" ht="12.75">
      <c r="D134" s="4" t="s">
        <v>794</v>
      </c>
      <c r="E134" s="4">
        <v>2</v>
      </c>
      <c r="F134" s="4">
        <f>RDG!G14</f>
        <v>133</v>
      </c>
      <c r="G134" s="4">
        <f>IF(RDG!H14=0,"",RDG!H14)</f>
      </c>
      <c r="H134" s="26">
        <f t="shared" si="6"/>
        <v>69685302.12</v>
      </c>
      <c r="I134" s="4">
        <f t="shared" si="7"/>
        <v>0</v>
      </c>
      <c r="J134" s="27">
        <f>RDG!I14</f>
        <v>16790206</v>
      </c>
      <c r="K134" s="27">
        <f>RDG!J14</f>
        <v>17802379</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20750594.849999998</v>
      </c>
      <c r="I136" s="4">
        <f t="shared" si="7"/>
        <v>0</v>
      </c>
      <c r="J136" s="27">
        <f>RDG!I16</f>
        <v>4703749</v>
      </c>
      <c r="K136" s="27">
        <f>RDG!J16</f>
        <v>5333531</v>
      </c>
    </row>
    <row r="137" spans="4:11" ht="12.75">
      <c r="D137" s="4" t="s">
        <v>794</v>
      </c>
      <c r="E137" s="4">
        <v>2</v>
      </c>
      <c r="F137" s="4">
        <f>RDG!G17</f>
        <v>136</v>
      </c>
      <c r="G137" s="4">
        <f>IF(RDG!H17=0,"",RDG!H17)</f>
      </c>
      <c r="H137" s="26">
        <f t="shared" si="6"/>
        <v>9723861.280000001</v>
      </c>
      <c r="I137" s="4">
        <f t="shared" si="7"/>
        <v>0</v>
      </c>
      <c r="J137" s="27">
        <f>RDG!I17</f>
        <v>2400886</v>
      </c>
      <c r="K137" s="27">
        <f>RDG!J17</f>
        <v>2374506</v>
      </c>
    </row>
    <row r="138" spans="4:11" ht="12.75">
      <c r="D138" s="4" t="s">
        <v>794</v>
      </c>
      <c r="E138" s="4">
        <v>2</v>
      </c>
      <c r="F138" s="4">
        <f>RDG!G18</f>
        <v>137</v>
      </c>
      <c r="G138" s="4">
        <f>IF(RDG!H18=0,"",RDG!H18)</f>
      </c>
      <c r="H138" s="26">
        <f t="shared" si="6"/>
        <v>2007563.75</v>
      </c>
      <c r="I138" s="4">
        <f t="shared" si="7"/>
        <v>0</v>
      </c>
      <c r="J138" s="27">
        <f>RDG!I18</f>
        <v>444777</v>
      </c>
      <c r="K138" s="27">
        <f>RDG!J18</f>
        <v>510299</v>
      </c>
    </row>
    <row r="139" spans="4:11" ht="12.75">
      <c r="D139" s="4" t="s">
        <v>794</v>
      </c>
      <c r="E139" s="4">
        <v>2</v>
      </c>
      <c r="F139" s="4">
        <f>RDG!G19</f>
        <v>138</v>
      </c>
      <c r="G139" s="4">
        <f>IF(RDG!H19=0,"",RDG!H19)</f>
      </c>
      <c r="H139" s="26">
        <f t="shared" si="6"/>
        <v>9322642.44</v>
      </c>
      <c r="I139" s="4">
        <f t="shared" si="7"/>
        <v>0</v>
      </c>
      <c r="J139" s="27">
        <f>RDG!I19</f>
        <v>1858086</v>
      </c>
      <c r="K139" s="27">
        <f>RDG!J19</f>
        <v>2448726</v>
      </c>
    </row>
    <row r="140" spans="4:11" ht="12.75">
      <c r="D140" s="4" t="s">
        <v>794</v>
      </c>
      <c r="E140" s="4">
        <v>2</v>
      </c>
      <c r="F140" s="4">
        <f>RDG!G20</f>
        <v>139</v>
      </c>
      <c r="G140" s="4">
        <f>IF(RDG!H20=0,"",RDG!H20)</f>
      </c>
      <c r="H140" s="26">
        <f t="shared" si="6"/>
        <v>30765099.35</v>
      </c>
      <c r="I140" s="4">
        <f t="shared" si="7"/>
        <v>0</v>
      </c>
      <c r="J140" s="27">
        <f>RDG!I20</f>
        <v>6898939</v>
      </c>
      <c r="K140" s="27">
        <f>RDG!J20</f>
        <v>7617113</v>
      </c>
    </row>
    <row r="141" spans="4:11" ht="12.75">
      <c r="D141" s="4" t="s">
        <v>794</v>
      </c>
      <c r="E141" s="4">
        <v>2</v>
      </c>
      <c r="F141" s="4">
        <f>RDG!G21</f>
        <v>140</v>
      </c>
      <c r="G141" s="4">
        <f>IF(RDG!H21=0,"",RDG!H21)</f>
      </c>
      <c r="H141" s="26">
        <f t="shared" si="6"/>
        <v>20065694.599999998</v>
      </c>
      <c r="I141" s="4">
        <f t="shared" si="7"/>
        <v>0</v>
      </c>
      <c r="J141" s="27">
        <f>RDG!I21</f>
        <v>4445421</v>
      </c>
      <c r="K141" s="27">
        <f>RDG!J21</f>
        <v>4943609</v>
      </c>
    </row>
    <row r="142" spans="4:11" ht="12.75">
      <c r="D142" s="4" t="s">
        <v>794</v>
      </c>
      <c r="E142" s="4">
        <v>2</v>
      </c>
      <c r="F142" s="4">
        <f>RDG!G22</f>
        <v>141</v>
      </c>
      <c r="G142" s="4">
        <f>IF(RDG!H22=0,"",RDG!H22)</f>
      </c>
      <c r="H142" s="26">
        <f t="shared" si="6"/>
        <v>6405144.96</v>
      </c>
      <c r="I142" s="4">
        <f t="shared" si="7"/>
        <v>0</v>
      </c>
      <c r="J142" s="27">
        <f>RDG!I22</f>
        <v>1432002</v>
      </c>
      <c r="K142" s="27">
        <f>RDG!J22</f>
        <v>1555327</v>
      </c>
    </row>
    <row r="143" spans="4:11" ht="12.75">
      <c r="D143" s="4" t="s">
        <v>794</v>
      </c>
      <c r="E143" s="4">
        <v>2</v>
      </c>
      <c r="F143" s="4">
        <f>RDG!G23</f>
        <v>142</v>
      </c>
      <c r="G143" s="4">
        <f>IF(RDG!H23=0,"",RDG!H23)</f>
      </c>
      <c r="H143" s="26">
        <f t="shared" si="6"/>
        <v>4626175.4</v>
      </c>
      <c r="I143" s="4">
        <f t="shared" si="7"/>
        <v>0</v>
      </c>
      <c r="J143" s="27">
        <f>RDG!I23</f>
        <v>1021516</v>
      </c>
      <c r="K143" s="27">
        <f>RDG!J23</f>
        <v>1118177</v>
      </c>
    </row>
    <row r="144" spans="4:11" ht="12.75">
      <c r="D144" s="4" t="s">
        <v>794</v>
      </c>
      <c r="E144" s="4">
        <v>2</v>
      </c>
      <c r="F144" s="4">
        <f>RDG!G24</f>
        <v>143</v>
      </c>
      <c r="G144" s="4">
        <f>IF(RDG!H24=0,"",RDG!H24)</f>
      </c>
      <c r="H144" s="26">
        <f t="shared" si="6"/>
        <v>8887295.56</v>
      </c>
      <c r="I144" s="4">
        <f t="shared" si="7"/>
        <v>0</v>
      </c>
      <c r="J144" s="27">
        <f>RDG!I24</f>
        <v>1979356</v>
      </c>
      <c r="K144" s="27">
        <f>RDG!J24</f>
        <v>2117768</v>
      </c>
    </row>
    <row r="145" spans="4:11" ht="12.75">
      <c r="D145" s="4" t="s">
        <v>794</v>
      </c>
      <c r="E145" s="4">
        <v>2</v>
      </c>
      <c r="F145" s="4">
        <f>RDG!G25</f>
        <v>144</v>
      </c>
      <c r="G145" s="4">
        <f>IF(RDG!H25=0,"",RDG!H25)</f>
      </c>
      <c r="H145" s="26">
        <f t="shared" si="6"/>
        <v>10324980</v>
      </c>
      <c r="I145" s="4">
        <f t="shared" si="7"/>
        <v>0</v>
      </c>
      <c r="J145" s="27">
        <f>RDG!I25</f>
        <v>2229529</v>
      </c>
      <c r="K145" s="27">
        <f>RDG!J25</f>
        <v>2470298</v>
      </c>
    </row>
    <row r="146" spans="4:11" ht="12.75">
      <c r="D146" s="4" t="s">
        <v>794</v>
      </c>
      <c r="E146" s="4">
        <v>2</v>
      </c>
      <c r="F146" s="4">
        <f>RDG!G26</f>
        <v>145</v>
      </c>
      <c r="G146" s="4">
        <f>IF(RDG!H26=0,"",RDG!H26)</f>
      </c>
      <c r="H146" s="26">
        <f t="shared" si="6"/>
        <v>1009107.2000000001</v>
      </c>
      <c r="I146" s="4">
        <f t="shared" si="7"/>
        <v>0</v>
      </c>
      <c r="J146" s="27">
        <f>RDG!I26</f>
        <v>224930</v>
      </c>
      <c r="K146" s="27">
        <f>RDG!J26</f>
        <v>235503</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1023025.9200000002</v>
      </c>
      <c r="I148" s="4">
        <f t="shared" si="7"/>
        <v>0</v>
      </c>
      <c r="J148" s="27">
        <f>RDG!I28</f>
        <v>224930</v>
      </c>
      <c r="K148" s="27">
        <f>RDG!J28</f>
        <v>235503</v>
      </c>
    </row>
    <row r="149" spans="4:11" ht="12.75">
      <c r="D149" s="4" t="s">
        <v>794</v>
      </c>
      <c r="E149" s="4">
        <v>2</v>
      </c>
      <c r="F149" s="4">
        <f>RDG!G29</f>
        <v>148</v>
      </c>
      <c r="G149" s="4">
        <f>IF(RDG!H29=0,"",RDG!H29)</f>
      </c>
      <c r="H149" s="26">
        <f t="shared" si="6"/>
        <v>1112339.8800000001</v>
      </c>
      <c r="I149" s="4">
        <f t="shared" si="7"/>
        <v>0</v>
      </c>
      <c r="J149" s="27">
        <f>RDG!I29</f>
        <v>751581</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1157434.74</v>
      </c>
      <c r="I155" s="4">
        <f t="shared" si="7"/>
        <v>0</v>
      </c>
      <c r="J155" s="27">
        <f>RDG!I35</f>
        <v>751581</v>
      </c>
      <c r="K155" s="27">
        <f>RDG!J35</f>
        <v>0</v>
      </c>
    </row>
    <row r="156" spans="4:11" ht="12.75">
      <c r="D156" s="4" t="s">
        <v>794</v>
      </c>
      <c r="E156" s="4">
        <v>2</v>
      </c>
      <c r="F156" s="4">
        <f>RDG!G36</f>
        <v>155</v>
      </c>
      <c r="G156" s="4">
        <f>IF(RDG!H36=0,"",RDG!H36)</f>
      </c>
      <c r="H156" s="26">
        <f t="shared" si="6"/>
        <v>90603.70000000001</v>
      </c>
      <c r="I156" s="4">
        <f t="shared" si="7"/>
        <v>0</v>
      </c>
      <c r="J156" s="27">
        <f>RDG!I36</f>
        <v>2122</v>
      </c>
      <c r="K156" s="27">
        <f>RDG!J36</f>
        <v>28166</v>
      </c>
    </row>
    <row r="157" spans="4:11" ht="12.75">
      <c r="D157" s="4" t="s">
        <v>794</v>
      </c>
      <c r="E157" s="4">
        <v>2</v>
      </c>
      <c r="F157" s="4">
        <f>RDG!G37</f>
        <v>156</v>
      </c>
      <c r="G157" s="4">
        <f>IF(RDG!H37=0,"",RDG!H37)</f>
      </c>
      <c r="H157" s="26">
        <f t="shared" si="6"/>
        <v>611841.3600000001</v>
      </c>
      <c r="I157" s="4">
        <f t="shared" si="7"/>
        <v>0</v>
      </c>
      <c r="J157" s="27">
        <f>RDG!I37</f>
        <v>138174</v>
      </c>
      <c r="K157" s="27">
        <f>RDG!J37</f>
        <v>127016</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638790.48</v>
      </c>
      <c r="I164" s="4">
        <f t="shared" si="7"/>
        <v>0</v>
      </c>
      <c r="J164" s="27">
        <f>RDG!I44</f>
        <v>138152</v>
      </c>
      <c r="K164" s="27">
        <f>RDG!J44</f>
        <v>126872</v>
      </c>
    </row>
    <row r="165" spans="4:11" ht="12.75">
      <c r="D165" s="4" t="s">
        <v>794</v>
      </c>
      <c r="E165" s="4">
        <v>2</v>
      </c>
      <c r="F165" s="4">
        <f>RDG!G45</f>
        <v>164</v>
      </c>
      <c r="G165" s="4">
        <f>IF(RDG!H45=0,"",RDG!H45)</f>
      </c>
      <c r="H165" s="26">
        <f t="shared" si="6"/>
        <v>508.4</v>
      </c>
      <c r="I165" s="4">
        <f t="shared" si="7"/>
        <v>0</v>
      </c>
      <c r="J165" s="27">
        <f>RDG!I45</f>
        <v>22</v>
      </c>
      <c r="K165" s="27">
        <f>RDG!J45</f>
        <v>144</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60340.439999999995</v>
      </c>
      <c r="I168" s="4">
        <f t="shared" si="7"/>
        <v>0</v>
      </c>
      <c r="J168" s="27">
        <f>RDG!I48</f>
        <v>7726</v>
      </c>
      <c r="K168" s="27">
        <f>RDG!J48</f>
        <v>14203</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61274.8</v>
      </c>
      <c r="I171" s="4">
        <f t="shared" si="7"/>
        <v>0</v>
      </c>
      <c r="J171" s="27">
        <f>RDG!I51</f>
        <v>7714</v>
      </c>
      <c r="K171" s="27">
        <f>RDG!J51</f>
        <v>14165</v>
      </c>
    </row>
    <row r="172" spans="4:11" ht="12.75">
      <c r="D172" s="4" t="s">
        <v>794</v>
      </c>
      <c r="E172" s="4">
        <v>2</v>
      </c>
      <c r="F172" s="4">
        <f>RDG!G52</f>
        <v>171</v>
      </c>
      <c r="G172" s="4">
        <f>IF(RDG!H52=0,"",RDG!H52)</f>
      </c>
      <c r="H172" s="26">
        <f t="shared" si="6"/>
        <v>150.48000000000002</v>
      </c>
      <c r="I172" s="4">
        <f t="shared" si="7"/>
        <v>0</v>
      </c>
      <c r="J172" s="27">
        <f>RDG!I52</f>
        <v>12</v>
      </c>
      <c r="K172" s="27">
        <f>RDG!J52</f>
        <v>38</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94621752.06</v>
      </c>
      <c r="I180" s="4">
        <f t="shared" si="7"/>
        <v>0</v>
      </c>
      <c r="J180" s="27">
        <f>RDG!I60</f>
        <v>17089088</v>
      </c>
      <c r="K180" s="27">
        <f>RDG!J60</f>
        <v>17886113</v>
      </c>
    </row>
    <row r="181" spans="4:11" ht="12.75">
      <c r="D181" s="4" t="s">
        <v>794</v>
      </c>
      <c r="E181" s="4">
        <v>2</v>
      </c>
      <c r="F181" s="4">
        <f>RDG!G61</f>
        <v>180</v>
      </c>
      <c r="G181" s="4">
        <f>IF(RDG!H61=0,"",RDG!H61)</f>
      </c>
      <c r="H181" s="26">
        <f t="shared" si="6"/>
        <v>94375972.80000001</v>
      </c>
      <c r="I181" s="4">
        <f t="shared" si="7"/>
        <v>0</v>
      </c>
      <c r="J181" s="27">
        <f>RDG!I61</f>
        <v>16797932</v>
      </c>
      <c r="K181" s="27">
        <f>RDG!J61</f>
        <v>17816582</v>
      </c>
    </row>
    <row r="182" spans="4:11" ht="12.75">
      <c r="D182" s="4" t="s">
        <v>794</v>
      </c>
      <c r="E182" s="4">
        <v>2</v>
      </c>
      <c r="F182" s="4">
        <f>RDG!G62</f>
        <v>181</v>
      </c>
      <c r="G182" s="4">
        <f>IF(RDG!H62=0,"",RDG!H62)</f>
      </c>
      <c r="H182" s="26">
        <f t="shared" si="6"/>
        <v>778694.58</v>
      </c>
      <c r="I182" s="4">
        <f t="shared" si="7"/>
        <v>0</v>
      </c>
      <c r="J182" s="27">
        <f>RDG!I62</f>
        <v>291156</v>
      </c>
      <c r="K182" s="27">
        <f>RDG!J62</f>
        <v>69531</v>
      </c>
    </row>
    <row r="183" spans="4:11" ht="12.75">
      <c r="D183" s="4" t="s">
        <v>794</v>
      </c>
      <c r="E183" s="4">
        <v>2</v>
      </c>
      <c r="F183" s="4">
        <f>RDG!G63</f>
        <v>182</v>
      </c>
      <c r="G183" s="4">
        <f>IF(RDG!H63=0,"",RDG!H63)</f>
      </c>
      <c r="H183" s="26">
        <f t="shared" si="6"/>
        <v>782996.76</v>
      </c>
      <c r="I183" s="4">
        <f t="shared" si="7"/>
        <v>0</v>
      </c>
      <c r="J183" s="27">
        <f>RDG!I63</f>
        <v>291156</v>
      </c>
      <c r="K183" s="27">
        <f>RDG!J63</f>
        <v>69531</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368211.60000000003</v>
      </c>
      <c r="I185" s="4">
        <f t="shared" si="7"/>
        <v>0</v>
      </c>
      <c r="J185" s="27">
        <f>RDG!I65</f>
        <v>200115</v>
      </c>
      <c r="K185" s="27">
        <f>RDG!J65</f>
        <v>0</v>
      </c>
    </row>
    <row r="186" spans="4:11" ht="12.75">
      <c r="D186" s="4" t="s">
        <v>794</v>
      </c>
      <c r="E186" s="4">
        <v>2</v>
      </c>
      <c r="F186" s="4">
        <f>RDG!G66</f>
        <v>185</v>
      </c>
      <c r="G186" s="4">
        <f>IF(RDG!H66=0,"",RDG!H66)</f>
      </c>
      <c r="H186" s="26">
        <f t="shared" si="6"/>
        <v>425690.55</v>
      </c>
      <c r="I186" s="4">
        <f t="shared" si="7"/>
        <v>0</v>
      </c>
      <c r="J186" s="27">
        <f>RDG!I66</f>
        <v>91041</v>
      </c>
      <c r="K186" s="27">
        <f>RDG!J66</f>
        <v>69531</v>
      </c>
    </row>
    <row r="187" spans="4:11" ht="12.75">
      <c r="D187" s="4" t="s">
        <v>794</v>
      </c>
      <c r="E187" s="4">
        <v>2</v>
      </c>
      <c r="F187" s="4">
        <f>RDG!G67</f>
        <v>186</v>
      </c>
      <c r="G187" s="4">
        <f>IF(RDG!H67=0,"",RDG!H67)</f>
      </c>
      <c r="H187" s="26">
        <f t="shared" si="6"/>
        <v>427991.57999999996</v>
      </c>
      <c r="I187" s="4">
        <f t="shared" si="7"/>
        <v>0</v>
      </c>
      <c r="J187" s="27">
        <f>RDG!I67</f>
        <v>91041</v>
      </c>
      <c r="K187" s="27">
        <f>RDG!J67</f>
        <v>69531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2"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IVKOM D.D.</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t="str">
        <f>RefStr!L21</f>
        <v>41748200389</v>
      </c>
      <c r="V3" s="206" t="s">
        <v>2736</v>
      </c>
      <c r="W3" s="224">
        <f>RefStr!C31</f>
        <v>42240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31407797858</v>
      </c>
      <c r="V4" s="206" t="s">
        <v>2737</v>
      </c>
      <c r="W4" s="224" t="str">
        <f>RefStr!F31</f>
        <v>IVANEC</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03136906</v>
      </c>
      <c r="V5" s="206" t="s">
        <v>2738</v>
      </c>
      <c r="W5" s="224" t="str">
        <f>RefStr!C33</f>
        <v>V. Nazora 96 B</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070000553</v>
      </c>
      <c r="V6" s="206" t="s">
        <v>2968</v>
      </c>
      <c r="W6" s="224" t="str">
        <f>RefStr!L35</f>
        <v>042/770-550</v>
      </c>
      <c r="X6" s="206" t="s">
        <v>2926</v>
      </c>
      <c r="Y6" s="224" t="str">
        <f>RefStr!C68</f>
        <v>Brankica Kušen</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7</v>
      </c>
      <c r="T7" s="206" t="s">
        <v>916</v>
      </c>
      <c r="U7" s="224">
        <f>RefStr!C7</f>
        <v>4</v>
      </c>
      <c r="V7" s="206" t="s">
        <v>2884</v>
      </c>
      <c r="W7" s="224" t="str">
        <f>TRIM(UPPER(RefStr!C35))</f>
        <v>IVKOM@IVKOM.HR</v>
      </c>
      <c r="X7" s="206" t="s">
        <v>2927</v>
      </c>
      <c r="Y7" s="224" t="str">
        <f>RefStr!C70</f>
        <v>042770573</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Dioničko društvo</v>
      </c>
      <c r="V8" s="206" t="s">
        <v>2974</v>
      </c>
      <c r="W8" s="224" t="str">
        <f>RefStr!C42</f>
        <v>3811</v>
      </c>
      <c r="X8" s="206" t="s">
        <v>2928</v>
      </c>
      <c r="Y8" s="224" t="str">
        <f>TRIM(UPPER(RefStr!C72))</f>
        <v>BRANKICA@IVKOM.HR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73</v>
      </c>
      <c r="Q9" s="223">
        <f>RefStr!F58</f>
        <v>77</v>
      </c>
      <c r="R9" s="206" t="s">
        <v>914</v>
      </c>
      <c r="S9" s="224">
        <f>IF(RefStr!F4&lt;&gt;"",RefStr!F4,0)</f>
        <v>44561</v>
      </c>
      <c r="T9" s="206" t="s">
        <v>891</v>
      </c>
      <c r="U9" s="224">
        <f>RefStr!C39</f>
        <v>156</v>
      </c>
      <c r="V9" s="206" t="s">
        <v>2951</v>
      </c>
      <c r="W9" s="224" t="str">
        <f>RefStr!D42</f>
        <v>Skupljanje neopasnog otpada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83</v>
      </c>
      <c r="Q10" s="225">
        <f>RefStr!F56</f>
        <v>87</v>
      </c>
      <c r="R10" s="208" t="s">
        <v>917</v>
      </c>
      <c r="S10" s="225">
        <f>RefStr!C23</f>
        <v>1</v>
      </c>
      <c r="T10" s="208" t="s">
        <v>2973</v>
      </c>
      <c r="U10" s="225" t="str">
        <f>RefStr!D39</f>
        <v>Ivanec</v>
      </c>
      <c r="V10" s="232"/>
      <c r="W10" s="233"/>
      <c r="X10" s="234" t="s">
        <v>2279</v>
      </c>
      <c r="Y10" s="235">
        <f>RefStr!F12</f>
        <v>2021</v>
      </c>
      <c r="Z10" s="208" t="s">
        <v>1771</v>
      </c>
      <c r="AA10" s="225" t="str">
        <f>RefStr!A75</f>
        <v>Rajh Edo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\\vepisserver\Company\IVKOM D.D. IVANEC\2021. - IVKOM D.D\RACUNOVODSTVO\BRANKICA\ZAVRŠNI\Ivkom\Javna objava - 2021\[GFI-POD - 2021 Ivkom.xls]PK</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5"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4</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313690.6</v>
      </c>
    </row>
    <row r="13" spans="4:17" ht="9.75" customHeight="1">
      <c r="D13" s="152"/>
      <c r="E13" s="158"/>
      <c r="H13" s="23"/>
      <c r="I13" s="159"/>
      <c r="J13" s="159"/>
      <c r="K13" s="152"/>
      <c r="L13" s="152"/>
      <c r="M13" s="152"/>
      <c r="N13" s="152"/>
      <c r="P13" s="50" t="s">
        <v>1561</v>
      </c>
      <c r="Q13" s="51">
        <f>INT(VALUE(M27))/50</f>
        <v>1400011.06</v>
      </c>
    </row>
    <row r="14" spans="1:17" ht="15">
      <c r="A14" s="289" t="s">
        <v>1312</v>
      </c>
      <c r="B14" s="289"/>
      <c r="C14" s="289"/>
      <c r="D14" s="160"/>
      <c r="E14" s="161"/>
      <c r="F14" s="287"/>
      <c r="G14" s="288"/>
      <c r="H14" s="288"/>
      <c r="I14" s="152"/>
      <c r="J14" s="310" t="s">
        <v>1978</v>
      </c>
      <c r="K14" s="311"/>
      <c r="L14" s="311"/>
      <c r="M14" s="311"/>
      <c r="N14" s="311"/>
      <c r="P14" s="50" t="s">
        <v>1316</v>
      </c>
      <c r="Q14" s="51">
        <f>INT(VALUE(C27))/100</f>
        <v>314077978.58</v>
      </c>
    </row>
    <row r="15" spans="1:17" ht="19.5" customHeight="1">
      <c r="A15" s="307">
        <f>Skriveni!B59</f>
        <v>1575847382.7000003</v>
      </c>
      <c r="B15" s="308"/>
      <c r="C15" s="309"/>
      <c r="D15" s="56"/>
      <c r="E15" s="56"/>
      <c r="F15" s="56"/>
      <c r="G15" s="56"/>
      <c r="H15" s="56"/>
      <c r="I15" s="56"/>
      <c r="J15" s="56"/>
      <c r="K15" s="56"/>
      <c r="L15" s="56"/>
      <c r="M15" s="56"/>
      <c r="N15" s="56"/>
      <c r="P15" s="50" t="s">
        <v>887</v>
      </c>
      <c r="Q15" s="51">
        <f>LEN(Skriveni!B9)</f>
        <v>10</v>
      </c>
    </row>
    <row r="16" spans="4:17" ht="12.75" customHeight="1">
      <c r="D16" s="56"/>
      <c r="E16" s="56"/>
      <c r="F16" s="56"/>
      <c r="G16" s="56"/>
      <c r="H16" s="56"/>
      <c r="I16" s="56"/>
      <c r="P16" s="50" t="s">
        <v>888</v>
      </c>
      <c r="Q16" s="51">
        <f>INT(VALUE(C31))/100</f>
        <v>422.4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2995</v>
      </c>
      <c r="P19" s="50" t="s">
        <v>890</v>
      </c>
      <c r="Q19" s="51">
        <f>LEN(Skriveni!B12)</f>
        <v>14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2996</v>
      </c>
      <c r="M21" s="283"/>
      <c r="N21" s="284"/>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2982</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42240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156</v>
      </c>
      <c r="D39" s="358" t="str">
        <f>IF(C39="","Upišite šifru grada/općine",IF(ISNA(LOOKUP(C39,A177:A732,A177:A732)),"Šifra grada/općine ne postoji",IF(LOOKUP(C39,A177:A732,A177:A732)&lt;&gt;C39,"Šifra grada/općine ne postoji",LOOKUP(C39,A177:A732,B177:B732))))</f>
        <v>Ivanec</v>
      </c>
      <c r="E39" s="359"/>
      <c r="F39" s="359"/>
      <c r="G39" s="359"/>
      <c r="H39" s="279" t="s">
        <v>2109</v>
      </c>
      <c r="I39" s="280"/>
      <c r="J39" s="54">
        <f>IF(C39&gt;0,LOOKUP(C39,A177:A732,C177:C732),"")</f>
        <v>5</v>
      </c>
      <c r="K39" s="350" t="str">
        <f>IF(J39="","Upišite šifru grada/općine",LOOKUP(J39,A153:A173,B153:B173))</f>
        <v>VARAŽDINSKA</v>
      </c>
      <c r="L39" s="350"/>
      <c r="M39" s="350"/>
      <c r="N39" s="350"/>
      <c r="P39" s="50" t="s">
        <v>896</v>
      </c>
      <c r="Q39" s="51">
        <f>C56+2*F56+3*C58+4*F58</f>
        <v>784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7</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81"/>
      <c r="F44" s="381"/>
      <c r="G44" s="381"/>
      <c r="H44" s="381"/>
      <c r="I44" s="381"/>
      <c r="J44" s="381"/>
      <c r="K44" s="381"/>
      <c r="L44" s="381"/>
      <c r="M44" s="381"/>
      <c r="N44" s="381"/>
      <c r="P44" s="50" t="s">
        <v>1299</v>
      </c>
      <c r="Q44" s="51">
        <f>LEN(Skriveni!B43)</f>
        <v>8</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417482003.89</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0.7</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83</v>
      </c>
      <c r="D56" s="272" t="s">
        <v>2653</v>
      </c>
      <c r="E56" s="362"/>
      <c r="F56" s="40">
        <v>87</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73</v>
      </c>
      <c r="D58" s="354" t="s">
        <v>2653</v>
      </c>
      <c r="E58" s="354"/>
      <c r="F58" s="40">
        <v>77</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15855331</v>
      </c>
      <c r="J10" s="66">
        <f>J11+J18+J28+J39+J44</f>
        <v>16350973</v>
      </c>
    </row>
    <row r="11" spans="1:10" ht="13.5" customHeight="1">
      <c r="A11" s="390" t="s">
        <v>904</v>
      </c>
      <c r="B11" s="390"/>
      <c r="C11" s="390"/>
      <c r="D11" s="390"/>
      <c r="E11" s="390"/>
      <c r="F11" s="390"/>
      <c r="G11" s="15">
        <v>3</v>
      </c>
      <c r="H11" s="16"/>
      <c r="I11" s="66">
        <f>SUM(I12:I17)</f>
        <v>652980</v>
      </c>
      <c r="J11" s="66">
        <f>SUM(J12:J17)</f>
        <v>645081</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5620</v>
      </c>
      <c r="J13" s="67">
        <v>1917</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v>647360</v>
      </c>
      <c r="J17" s="67">
        <v>643164</v>
      </c>
    </row>
    <row r="18" spans="1:10" ht="13.5" customHeight="1">
      <c r="A18" s="390" t="s">
        <v>965</v>
      </c>
      <c r="B18" s="390"/>
      <c r="C18" s="390"/>
      <c r="D18" s="390"/>
      <c r="E18" s="390"/>
      <c r="F18" s="390"/>
      <c r="G18" s="15">
        <v>10</v>
      </c>
      <c r="H18" s="16"/>
      <c r="I18" s="66">
        <f>SUM(I19:I27)</f>
        <v>12910475</v>
      </c>
      <c r="J18" s="66">
        <f>SUM(J19:J27)</f>
        <v>13414016</v>
      </c>
    </row>
    <row r="19" spans="1:10" ht="13.5" customHeight="1">
      <c r="A19" s="387" t="s">
        <v>733</v>
      </c>
      <c r="B19" s="387"/>
      <c r="C19" s="387"/>
      <c r="D19" s="387"/>
      <c r="E19" s="387"/>
      <c r="F19" s="387"/>
      <c r="G19" s="15">
        <v>11</v>
      </c>
      <c r="H19" s="16"/>
      <c r="I19" s="67">
        <v>17722</v>
      </c>
      <c r="J19" s="67">
        <v>17722</v>
      </c>
    </row>
    <row r="20" spans="1:10" ht="13.5" customHeight="1">
      <c r="A20" s="387" t="s">
        <v>796</v>
      </c>
      <c r="B20" s="387"/>
      <c r="C20" s="387"/>
      <c r="D20" s="387"/>
      <c r="E20" s="387"/>
      <c r="F20" s="387"/>
      <c r="G20" s="15">
        <v>12</v>
      </c>
      <c r="H20" s="16"/>
      <c r="I20" s="67">
        <v>10019983</v>
      </c>
      <c r="J20" s="67">
        <v>8782897</v>
      </c>
    </row>
    <row r="21" spans="1:10" ht="13.5" customHeight="1">
      <c r="A21" s="387" t="s">
        <v>734</v>
      </c>
      <c r="B21" s="387"/>
      <c r="C21" s="387"/>
      <c r="D21" s="387"/>
      <c r="E21" s="387"/>
      <c r="F21" s="387"/>
      <c r="G21" s="15">
        <v>13</v>
      </c>
      <c r="H21" s="16"/>
      <c r="I21" s="67">
        <v>429488</v>
      </c>
      <c r="J21" s="67">
        <v>401318</v>
      </c>
    </row>
    <row r="22" spans="1:10" ht="13.5" customHeight="1">
      <c r="A22" s="387" t="s">
        <v>405</v>
      </c>
      <c r="B22" s="387"/>
      <c r="C22" s="387"/>
      <c r="D22" s="387"/>
      <c r="E22" s="387"/>
      <c r="F22" s="387"/>
      <c r="G22" s="15">
        <v>14</v>
      </c>
      <c r="H22" s="16"/>
      <c r="I22" s="67">
        <v>1505454</v>
      </c>
      <c r="J22" s="67">
        <v>3248264</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937828</v>
      </c>
      <c r="J25" s="67">
        <v>963815</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2291876</v>
      </c>
      <c r="J28" s="66">
        <f>SUM(J29:J38)</f>
        <v>2291876</v>
      </c>
    </row>
    <row r="29" spans="1:10" ht="13.5" customHeight="1">
      <c r="A29" s="387" t="s">
        <v>705</v>
      </c>
      <c r="B29" s="387"/>
      <c r="C29" s="387"/>
      <c r="D29" s="387"/>
      <c r="E29" s="387"/>
      <c r="F29" s="387"/>
      <c r="G29" s="15">
        <v>21</v>
      </c>
      <c r="H29" s="16"/>
      <c r="I29" s="67">
        <v>2291876</v>
      </c>
      <c r="J29" s="67">
        <v>2291876</v>
      </c>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10315992</v>
      </c>
      <c r="J45" s="66">
        <f>J46+J54+J61+J71</f>
        <v>10008789</v>
      </c>
    </row>
    <row r="46" spans="1:10" ht="13.5" customHeight="1">
      <c r="A46" s="390" t="s">
        <v>1264</v>
      </c>
      <c r="B46" s="390"/>
      <c r="C46" s="390"/>
      <c r="D46" s="390"/>
      <c r="E46" s="390"/>
      <c r="F46" s="390"/>
      <c r="G46" s="15">
        <v>38</v>
      </c>
      <c r="H46" s="16"/>
      <c r="I46" s="66">
        <f>SUM(I47:I53)</f>
        <v>436456</v>
      </c>
      <c r="J46" s="66">
        <f>SUM(J47:J53)</f>
        <v>348661</v>
      </c>
    </row>
    <row r="47" spans="1:10" ht="13.5" customHeight="1">
      <c r="A47" s="387" t="s">
        <v>1892</v>
      </c>
      <c r="B47" s="387"/>
      <c r="C47" s="387"/>
      <c r="D47" s="387"/>
      <c r="E47" s="387"/>
      <c r="F47" s="387"/>
      <c r="G47" s="15">
        <v>39</v>
      </c>
      <c r="H47" s="16"/>
      <c r="I47" s="67">
        <v>325182</v>
      </c>
      <c r="J47" s="67">
        <v>234938</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v>111274</v>
      </c>
      <c r="J50" s="67">
        <v>113723</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3621190</v>
      </c>
      <c r="J54" s="66">
        <f>SUM(J55:J60)</f>
        <v>3184126</v>
      </c>
    </row>
    <row r="55" spans="1:10" ht="13.5" customHeight="1">
      <c r="A55" s="387" t="s">
        <v>2007</v>
      </c>
      <c r="B55" s="387"/>
      <c r="C55" s="387"/>
      <c r="D55" s="387"/>
      <c r="E55" s="387"/>
      <c r="F55" s="387"/>
      <c r="G55" s="15">
        <v>47</v>
      </c>
      <c r="H55" s="16"/>
      <c r="I55" s="67">
        <v>95162</v>
      </c>
      <c r="J55" s="67">
        <v>74481</v>
      </c>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3495923</v>
      </c>
      <c r="J57" s="67">
        <v>2960284</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20105</v>
      </c>
      <c r="J59" s="67">
        <v>147945</v>
      </c>
    </row>
    <row r="60" spans="1:10" ht="13.5" customHeight="1">
      <c r="A60" s="387" t="s">
        <v>1255</v>
      </c>
      <c r="B60" s="387"/>
      <c r="C60" s="387"/>
      <c r="D60" s="387"/>
      <c r="E60" s="387"/>
      <c r="F60" s="387"/>
      <c r="G60" s="15">
        <v>52</v>
      </c>
      <c r="H60" s="16"/>
      <c r="I60" s="67">
        <v>10000</v>
      </c>
      <c r="J60" s="67">
        <v>1416</v>
      </c>
    </row>
    <row r="61" spans="1:10" ht="13.5" customHeight="1">
      <c r="A61" s="390" t="s">
        <v>1266</v>
      </c>
      <c r="B61" s="390"/>
      <c r="C61" s="390"/>
      <c r="D61" s="390"/>
      <c r="E61" s="390"/>
      <c r="F61" s="390"/>
      <c r="G61" s="15">
        <v>53</v>
      </c>
      <c r="H61" s="16"/>
      <c r="I61" s="66">
        <f>SUM(I62:I70)</f>
        <v>627289</v>
      </c>
      <c r="J61" s="66">
        <f>SUM(J62:J70)</f>
        <v>522289</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627289</v>
      </c>
      <c r="J69" s="67">
        <v>522289</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5631057</v>
      </c>
      <c r="J71" s="67">
        <v>5953713</v>
      </c>
    </row>
    <row r="72" spans="1:10" ht="24.75" customHeight="1">
      <c r="A72" s="385" t="s">
        <v>591</v>
      </c>
      <c r="B72" s="385"/>
      <c r="C72" s="385"/>
      <c r="D72" s="385"/>
      <c r="E72" s="385"/>
      <c r="F72" s="385"/>
      <c r="G72" s="15">
        <v>64</v>
      </c>
      <c r="H72" s="16"/>
      <c r="I72" s="67">
        <v>31816</v>
      </c>
      <c r="J72" s="67">
        <v>31178</v>
      </c>
    </row>
    <row r="73" spans="1:10" ht="13.5" customHeight="1">
      <c r="A73" s="385" t="s">
        <v>1267</v>
      </c>
      <c r="B73" s="385"/>
      <c r="C73" s="385"/>
      <c r="D73" s="385"/>
      <c r="E73" s="385"/>
      <c r="F73" s="385"/>
      <c r="G73" s="15">
        <v>65</v>
      </c>
      <c r="H73" s="16"/>
      <c r="I73" s="66">
        <f>I9+I10+I45+I72</f>
        <v>26203139</v>
      </c>
      <c r="J73" s="66">
        <f>J9+J10+J45+J72</f>
        <v>26390940</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14267762</v>
      </c>
      <c r="J76" s="66">
        <f>J77+J78+J79+J85+J86+J92+J95+J98</f>
        <v>14337293</v>
      </c>
      <c r="L76" s="2" t="s">
        <v>1209</v>
      </c>
    </row>
    <row r="77" spans="1:10" ht="13.5" customHeight="1">
      <c r="A77" s="390" t="s">
        <v>1857</v>
      </c>
      <c r="B77" s="390"/>
      <c r="C77" s="390"/>
      <c r="D77" s="390"/>
      <c r="E77" s="390"/>
      <c r="F77" s="390"/>
      <c r="G77" s="15">
        <v>68</v>
      </c>
      <c r="H77" s="16"/>
      <c r="I77" s="67">
        <v>10512810</v>
      </c>
      <c r="J77" s="67">
        <v>10512810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2955955</v>
      </c>
      <c r="J79" s="66">
        <f>J80+J81-J82+J83+J84</f>
        <v>2964363</v>
      </c>
      <c r="L79" s="2" t="s">
        <v>1209</v>
      </c>
    </row>
    <row r="80" spans="1:12" ht="13.5" customHeight="1">
      <c r="A80" s="387" t="s">
        <v>1258</v>
      </c>
      <c r="B80" s="387"/>
      <c r="C80" s="387"/>
      <c r="D80" s="387"/>
      <c r="E80" s="387"/>
      <c r="F80" s="387"/>
      <c r="G80" s="15">
        <v>71</v>
      </c>
      <c r="H80" s="16"/>
      <c r="I80" s="67">
        <v>59761</v>
      </c>
      <c r="J80" s="67">
        <v>68169</v>
      </c>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v>2896194</v>
      </c>
      <c r="J84" s="67">
        <v>2896194</v>
      </c>
      <c r="L84" s="2" t="s">
        <v>1209</v>
      </c>
    </row>
    <row r="85" spans="1:12" ht="13.5" customHeight="1">
      <c r="A85" s="390" t="s">
        <v>2405</v>
      </c>
      <c r="B85" s="390"/>
      <c r="C85" s="390"/>
      <c r="D85" s="390"/>
      <c r="E85" s="390"/>
      <c r="F85" s="390"/>
      <c r="G85" s="15">
        <v>76</v>
      </c>
      <c r="H85" s="16"/>
      <c r="I85" s="67">
        <v>348367</v>
      </c>
      <c r="J85" s="67">
        <v>348367</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359589</v>
      </c>
      <c r="J92" s="66">
        <f>J93-J94</f>
        <v>442222</v>
      </c>
      <c r="L92" s="2" t="s">
        <v>1209</v>
      </c>
    </row>
    <row r="93" spans="1:10" ht="13.5" customHeight="1">
      <c r="A93" s="387" t="s">
        <v>2830</v>
      </c>
      <c r="B93" s="387"/>
      <c r="C93" s="387"/>
      <c r="D93" s="387"/>
      <c r="E93" s="387"/>
      <c r="F93" s="387"/>
      <c r="G93" s="15">
        <v>84</v>
      </c>
      <c r="H93" s="16"/>
      <c r="I93" s="67">
        <v>359589</v>
      </c>
      <c r="J93" s="67">
        <v>442222</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91041</v>
      </c>
      <c r="J95" s="66">
        <f>J96-J97</f>
        <v>69531</v>
      </c>
      <c r="L95" s="2" t="s">
        <v>1209</v>
      </c>
    </row>
    <row r="96" spans="1:10" ht="13.5" customHeight="1">
      <c r="A96" s="387" t="s">
        <v>1257</v>
      </c>
      <c r="B96" s="387"/>
      <c r="C96" s="387"/>
      <c r="D96" s="387"/>
      <c r="E96" s="387"/>
      <c r="F96" s="387"/>
      <c r="G96" s="15">
        <v>87</v>
      </c>
      <c r="H96" s="16"/>
      <c r="I96" s="67">
        <v>91041</v>
      </c>
      <c r="J96" s="67">
        <v>69531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751581</v>
      </c>
      <c r="J99" s="66">
        <f>SUM(J100:J105)</f>
        <v>520160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v>751581</v>
      </c>
      <c r="J105" s="67">
        <v>520160</v>
      </c>
    </row>
    <row r="106" spans="1:10" ht="13.5" customHeight="1">
      <c r="A106" s="385" t="s">
        <v>2489</v>
      </c>
      <c r="B106" s="385"/>
      <c r="C106" s="385"/>
      <c r="D106" s="385"/>
      <c r="E106" s="385"/>
      <c r="F106" s="385"/>
      <c r="G106" s="15">
        <v>97</v>
      </c>
      <c r="H106" s="16"/>
      <c r="I106" s="66">
        <f>SUM(I107:I117)</f>
        <v>367741</v>
      </c>
      <c r="J106" s="66">
        <f>SUM(J107:J117)</f>
        <v>142675</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367741</v>
      </c>
      <c r="J112" s="67">
        <v>142675</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2169377</v>
      </c>
      <c r="J118" s="66">
        <f>SUM(J119:J132)</f>
        <v>2595346</v>
      </c>
    </row>
    <row r="119" spans="1:10" ht="13.5" customHeight="1">
      <c r="A119" s="387" t="s">
        <v>750</v>
      </c>
      <c r="B119" s="387"/>
      <c r="C119" s="387"/>
      <c r="D119" s="387"/>
      <c r="E119" s="387"/>
      <c r="F119" s="387"/>
      <c r="G119" s="15">
        <v>110</v>
      </c>
      <c r="H119" s="16"/>
      <c r="I119" s="67">
        <v>4402</v>
      </c>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218859</v>
      </c>
      <c r="J124" s="67">
        <v>225066</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851886</v>
      </c>
      <c r="J126" s="67">
        <v>1373784</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458214</v>
      </c>
      <c r="J128" s="67">
        <v>579080</v>
      </c>
    </row>
    <row r="129" spans="1:10" ht="13.5" customHeight="1">
      <c r="A129" s="387" t="s">
        <v>2023</v>
      </c>
      <c r="B129" s="387"/>
      <c r="C129" s="387"/>
      <c r="D129" s="387"/>
      <c r="E129" s="387"/>
      <c r="F129" s="387"/>
      <c r="G129" s="15">
        <v>120</v>
      </c>
      <c r="H129" s="16"/>
      <c r="I129" s="67">
        <v>625016</v>
      </c>
      <c r="J129" s="67">
        <v>406416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11000</v>
      </c>
      <c r="J132" s="67">
        <v>11000</v>
      </c>
    </row>
    <row r="133" spans="1:10" ht="24.75" customHeight="1">
      <c r="A133" s="385" t="s">
        <v>593</v>
      </c>
      <c r="B133" s="385"/>
      <c r="C133" s="385"/>
      <c r="D133" s="385"/>
      <c r="E133" s="385"/>
      <c r="F133" s="385"/>
      <c r="G133" s="15">
        <v>124</v>
      </c>
      <c r="H133" s="16"/>
      <c r="I133" s="67">
        <v>8646678</v>
      </c>
      <c r="J133" s="67">
        <v>8795466</v>
      </c>
    </row>
    <row r="134" spans="1:10" ht="13.5" customHeight="1">
      <c r="A134" s="385" t="s">
        <v>360</v>
      </c>
      <c r="B134" s="385"/>
      <c r="C134" s="385"/>
      <c r="D134" s="385"/>
      <c r="E134" s="385"/>
      <c r="F134" s="385"/>
      <c r="G134" s="15">
        <v>125</v>
      </c>
      <c r="H134" s="16"/>
      <c r="I134" s="66">
        <f>I76+I99+I106+I118+I133</f>
        <v>26203139</v>
      </c>
      <c r="J134" s="66">
        <f>J76+J99+J106+J118+J133</f>
        <v>26390940</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1" activePane="bottomLeft" state="frozen"/>
      <selection pane="topLeft" activeCell="A1" sqref="A1"/>
      <selection pane="bottomLeft" activeCell="C1" sqref="C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31407797858; IVKOM D.D.</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16950914</v>
      </c>
      <c r="J8" s="80">
        <f>SUM(J9:J13)</f>
        <v>17759097</v>
      </c>
      <c r="Q8" s="2">
        <f>IF(OR(MIN(I70:J75)&lt;&gt;0,MAX(I70:J75)&lt;&gt;0),1,0)</f>
        <v>0</v>
      </c>
      <c r="R8" s="69" t="s">
        <v>1215</v>
      </c>
    </row>
    <row r="9" spans="1:10" s="2" customFormat="1" ht="14.25" customHeight="1">
      <c r="A9" s="387" t="s">
        <v>347</v>
      </c>
      <c r="B9" s="387"/>
      <c r="C9" s="387"/>
      <c r="D9" s="387"/>
      <c r="E9" s="387"/>
      <c r="F9" s="387"/>
      <c r="G9" s="15">
        <v>128</v>
      </c>
      <c r="H9" s="16"/>
      <c r="I9" s="67">
        <v>222688</v>
      </c>
      <c r="J9" s="67">
        <v>193967</v>
      </c>
    </row>
    <row r="10" spans="1:10" s="2" customFormat="1" ht="14.25" customHeight="1">
      <c r="A10" s="387" t="s">
        <v>964</v>
      </c>
      <c r="B10" s="387"/>
      <c r="C10" s="387"/>
      <c r="D10" s="387"/>
      <c r="E10" s="387"/>
      <c r="F10" s="387"/>
      <c r="G10" s="15">
        <v>129</v>
      </c>
      <c r="H10" s="16"/>
      <c r="I10" s="67">
        <v>15525417</v>
      </c>
      <c r="J10" s="67">
        <v>15787186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1202809</v>
      </c>
      <c r="J13" s="67">
        <v>1777944</v>
      </c>
    </row>
    <row r="14" spans="1:10" s="2" customFormat="1" ht="14.25" customHeight="1">
      <c r="A14" s="385" t="s">
        <v>2492</v>
      </c>
      <c r="B14" s="385"/>
      <c r="C14" s="385"/>
      <c r="D14" s="385"/>
      <c r="E14" s="385"/>
      <c r="F14" s="385"/>
      <c r="G14" s="15">
        <v>133</v>
      </c>
      <c r="H14" s="16"/>
      <c r="I14" s="66">
        <f>I15+I16+I20+I24+I25+I26+I29+I36</f>
        <v>16790206</v>
      </c>
      <c r="J14" s="66">
        <f>J15+J16+J20+J24+J25+J26+J29+J36</f>
        <v>17802379</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4703749</v>
      </c>
      <c r="J16" s="66">
        <f>SUM(J17:J19)</f>
        <v>5333531</v>
      </c>
    </row>
    <row r="17" spans="1:10" s="2" customFormat="1" ht="14.25" customHeight="1">
      <c r="A17" s="413" t="s">
        <v>1273</v>
      </c>
      <c r="B17" s="413"/>
      <c r="C17" s="413"/>
      <c r="D17" s="413"/>
      <c r="E17" s="413"/>
      <c r="F17" s="413"/>
      <c r="G17" s="15">
        <v>136</v>
      </c>
      <c r="H17" s="16"/>
      <c r="I17" s="67">
        <v>2400886</v>
      </c>
      <c r="J17" s="67">
        <v>2374506</v>
      </c>
    </row>
    <row r="18" spans="1:10" s="2" customFormat="1" ht="14.25" customHeight="1">
      <c r="A18" s="413" t="s">
        <v>1274</v>
      </c>
      <c r="B18" s="413"/>
      <c r="C18" s="413"/>
      <c r="D18" s="413"/>
      <c r="E18" s="413"/>
      <c r="F18" s="413"/>
      <c r="G18" s="15">
        <v>137</v>
      </c>
      <c r="H18" s="16"/>
      <c r="I18" s="67">
        <v>444777</v>
      </c>
      <c r="J18" s="67">
        <v>510299</v>
      </c>
    </row>
    <row r="19" spans="1:10" s="2" customFormat="1" ht="14.25" customHeight="1">
      <c r="A19" s="413" t="s">
        <v>2959</v>
      </c>
      <c r="B19" s="413"/>
      <c r="C19" s="413"/>
      <c r="D19" s="413"/>
      <c r="E19" s="413"/>
      <c r="F19" s="413"/>
      <c r="G19" s="15">
        <v>138</v>
      </c>
      <c r="H19" s="16"/>
      <c r="I19" s="67">
        <v>1858086</v>
      </c>
      <c r="J19" s="67">
        <v>2448726</v>
      </c>
    </row>
    <row r="20" spans="1:10" s="2" customFormat="1" ht="14.25" customHeight="1">
      <c r="A20" s="387" t="s">
        <v>2494</v>
      </c>
      <c r="B20" s="387"/>
      <c r="C20" s="387"/>
      <c r="D20" s="387"/>
      <c r="E20" s="387"/>
      <c r="F20" s="387"/>
      <c r="G20" s="15">
        <v>139</v>
      </c>
      <c r="H20" s="16"/>
      <c r="I20" s="66">
        <f>SUM(I21:I23)</f>
        <v>6898939</v>
      </c>
      <c r="J20" s="66">
        <f>SUM(J21:J23)</f>
        <v>7617113</v>
      </c>
    </row>
    <row r="21" spans="1:10" s="2" customFormat="1" ht="14.25" customHeight="1">
      <c r="A21" s="413" t="s">
        <v>960</v>
      </c>
      <c r="B21" s="413"/>
      <c r="C21" s="413"/>
      <c r="D21" s="413"/>
      <c r="E21" s="413"/>
      <c r="F21" s="413"/>
      <c r="G21" s="15">
        <v>140</v>
      </c>
      <c r="H21" s="16"/>
      <c r="I21" s="67">
        <v>4445421</v>
      </c>
      <c r="J21" s="67">
        <v>4943609</v>
      </c>
    </row>
    <row r="22" spans="1:10" s="2" customFormat="1" ht="14.25" customHeight="1">
      <c r="A22" s="413" t="s">
        <v>1883</v>
      </c>
      <c r="B22" s="413"/>
      <c r="C22" s="413"/>
      <c r="D22" s="413"/>
      <c r="E22" s="413"/>
      <c r="F22" s="413"/>
      <c r="G22" s="15">
        <v>141</v>
      </c>
      <c r="H22" s="16"/>
      <c r="I22" s="67">
        <v>1432002</v>
      </c>
      <c r="J22" s="67">
        <v>1555327</v>
      </c>
    </row>
    <row r="23" spans="1:10" s="2" customFormat="1" ht="14.25" customHeight="1">
      <c r="A23" s="413" t="s">
        <v>1884</v>
      </c>
      <c r="B23" s="413"/>
      <c r="C23" s="413"/>
      <c r="D23" s="413"/>
      <c r="E23" s="413"/>
      <c r="F23" s="413"/>
      <c r="G23" s="15">
        <v>142</v>
      </c>
      <c r="H23" s="16"/>
      <c r="I23" s="67">
        <v>1021516</v>
      </c>
      <c r="J23" s="67">
        <v>1118177</v>
      </c>
    </row>
    <row r="24" spans="1:10" s="2" customFormat="1" ht="14.25" customHeight="1">
      <c r="A24" s="387" t="s">
        <v>1006</v>
      </c>
      <c r="B24" s="387"/>
      <c r="C24" s="387"/>
      <c r="D24" s="387"/>
      <c r="E24" s="387"/>
      <c r="F24" s="387"/>
      <c r="G24" s="15">
        <v>143</v>
      </c>
      <c r="H24" s="16"/>
      <c r="I24" s="67">
        <v>1979356</v>
      </c>
      <c r="J24" s="67">
        <v>2117768</v>
      </c>
    </row>
    <row r="25" spans="1:10" s="2" customFormat="1" ht="14.25" customHeight="1">
      <c r="A25" s="387" t="s">
        <v>1007</v>
      </c>
      <c r="B25" s="387"/>
      <c r="C25" s="387"/>
      <c r="D25" s="387"/>
      <c r="E25" s="387"/>
      <c r="F25" s="387"/>
      <c r="G25" s="15">
        <v>144</v>
      </c>
      <c r="H25" s="16"/>
      <c r="I25" s="67">
        <v>2229529</v>
      </c>
      <c r="J25" s="67">
        <v>2470298</v>
      </c>
    </row>
    <row r="26" spans="1:12" s="2" customFormat="1" ht="14.25" customHeight="1">
      <c r="A26" s="387" t="s">
        <v>2495</v>
      </c>
      <c r="B26" s="387"/>
      <c r="C26" s="387"/>
      <c r="D26" s="387"/>
      <c r="E26" s="387"/>
      <c r="F26" s="387"/>
      <c r="G26" s="15">
        <v>145</v>
      </c>
      <c r="H26" s="16"/>
      <c r="I26" s="66">
        <f>SUM(I27:I28)</f>
        <v>224930</v>
      </c>
      <c r="J26" s="66">
        <f>SUM(J27:J28)</f>
        <v>235503</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224930</v>
      </c>
      <c r="J28" s="67">
        <v>235503</v>
      </c>
      <c r="L28" s="2" t="s">
        <v>1209</v>
      </c>
    </row>
    <row r="29" spans="1:12" s="2" customFormat="1" ht="14.25" customHeight="1">
      <c r="A29" s="387" t="s">
        <v>2496</v>
      </c>
      <c r="B29" s="387"/>
      <c r="C29" s="387"/>
      <c r="D29" s="387"/>
      <c r="E29" s="387"/>
      <c r="F29" s="387"/>
      <c r="G29" s="15">
        <v>148</v>
      </c>
      <c r="H29" s="16"/>
      <c r="I29" s="66">
        <f>SUM(I30:I35)</f>
        <v>751581</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v>751581</v>
      </c>
      <c r="J35" s="67"/>
      <c r="L35" s="2" t="s">
        <v>1209</v>
      </c>
    </row>
    <row r="36" spans="1:10" s="2" customFormat="1" ht="14.25" customHeight="1">
      <c r="A36" s="387" t="s">
        <v>147</v>
      </c>
      <c r="B36" s="387"/>
      <c r="C36" s="387"/>
      <c r="D36" s="387"/>
      <c r="E36" s="387"/>
      <c r="F36" s="387"/>
      <c r="G36" s="15">
        <v>155</v>
      </c>
      <c r="H36" s="16"/>
      <c r="I36" s="67">
        <v>2122</v>
      </c>
      <c r="J36" s="67">
        <v>28166</v>
      </c>
    </row>
    <row r="37" spans="1:10" s="2" customFormat="1" ht="14.25" customHeight="1">
      <c r="A37" s="385" t="s">
        <v>2497</v>
      </c>
      <c r="B37" s="385"/>
      <c r="C37" s="385"/>
      <c r="D37" s="385"/>
      <c r="E37" s="385"/>
      <c r="F37" s="385"/>
      <c r="G37" s="15">
        <v>156</v>
      </c>
      <c r="H37" s="16"/>
      <c r="I37" s="66">
        <f>SUM(I38:I47)</f>
        <v>138174</v>
      </c>
      <c r="J37" s="66">
        <f>SUM(J38:J47)</f>
        <v>127016</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138152</v>
      </c>
      <c r="J44" s="67">
        <v>126872</v>
      </c>
    </row>
    <row r="45" spans="1:10" s="2" customFormat="1" ht="14.25" customHeight="1">
      <c r="A45" s="387" t="s">
        <v>2961</v>
      </c>
      <c r="B45" s="387"/>
      <c r="C45" s="387"/>
      <c r="D45" s="387"/>
      <c r="E45" s="387"/>
      <c r="F45" s="387"/>
      <c r="G45" s="15">
        <v>164</v>
      </c>
      <c r="H45" s="16"/>
      <c r="I45" s="67">
        <v>22</v>
      </c>
      <c r="J45" s="67">
        <v>144</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7726</v>
      </c>
      <c r="J48" s="66">
        <f>SUM(J49:J55)</f>
        <v>14203</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7714</v>
      </c>
      <c r="J51" s="67">
        <v>14165</v>
      </c>
    </row>
    <row r="52" spans="1:10" s="2" customFormat="1" ht="14.25" customHeight="1">
      <c r="A52" s="408" t="s">
        <v>1090</v>
      </c>
      <c r="B52" s="408"/>
      <c r="C52" s="408"/>
      <c r="D52" s="408"/>
      <c r="E52" s="408"/>
      <c r="F52" s="408"/>
      <c r="G52" s="15">
        <v>171</v>
      </c>
      <c r="H52" s="16"/>
      <c r="I52" s="67">
        <v>12</v>
      </c>
      <c r="J52" s="67">
        <v>38</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17089088</v>
      </c>
      <c r="J60" s="66">
        <f>J8+J37+J56+J57</f>
        <v>17886113</v>
      </c>
    </row>
    <row r="61" spans="1:10" s="2" customFormat="1" ht="14.25" customHeight="1">
      <c r="A61" s="385" t="s">
        <v>2500</v>
      </c>
      <c r="B61" s="385"/>
      <c r="C61" s="385"/>
      <c r="D61" s="385"/>
      <c r="E61" s="385"/>
      <c r="F61" s="385"/>
      <c r="G61" s="15">
        <v>180</v>
      </c>
      <c r="H61" s="16"/>
      <c r="I61" s="66">
        <f>I14+I48+I58+I59</f>
        <v>16797932</v>
      </c>
      <c r="J61" s="66">
        <f>J14+J48+J58+J59</f>
        <v>17816582</v>
      </c>
    </row>
    <row r="62" spans="1:12" s="2" customFormat="1" ht="14.25" customHeight="1">
      <c r="A62" s="385" t="s">
        <v>2501</v>
      </c>
      <c r="B62" s="385"/>
      <c r="C62" s="385"/>
      <c r="D62" s="385"/>
      <c r="E62" s="385"/>
      <c r="F62" s="385"/>
      <c r="G62" s="15">
        <v>181</v>
      </c>
      <c r="H62" s="16"/>
      <c r="I62" s="66">
        <f>I60-I61</f>
        <v>291156</v>
      </c>
      <c r="J62" s="66">
        <f>J60-J61</f>
        <v>69531</v>
      </c>
      <c r="L62" s="2" t="s">
        <v>1209</v>
      </c>
    </row>
    <row r="63" spans="1:10" s="2" customFormat="1" ht="14.25" customHeight="1">
      <c r="A63" s="408" t="s">
        <v>2502</v>
      </c>
      <c r="B63" s="408"/>
      <c r="C63" s="408"/>
      <c r="D63" s="408"/>
      <c r="E63" s="408"/>
      <c r="F63" s="408"/>
      <c r="G63" s="15">
        <v>182</v>
      </c>
      <c r="H63" s="16"/>
      <c r="I63" s="66">
        <f>IF(I60&gt;I61,I60-I61,0)</f>
        <v>291156</v>
      </c>
      <c r="J63" s="66">
        <f>IF(J60&gt;J61,J60-J61,0)</f>
        <v>69531</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200115</v>
      </c>
      <c r="J65" s="67"/>
      <c r="L65" s="2" t="s">
        <v>1209</v>
      </c>
    </row>
    <row r="66" spans="1:12" s="2" customFormat="1" ht="14.25" customHeight="1">
      <c r="A66" s="385" t="s">
        <v>2504</v>
      </c>
      <c r="B66" s="385"/>
      <c r="C66" s="385"/>
      <c r="D66" s="385"/>
      <c r="E66" s="385"/>
      <c r="F66" s="385"/>
      <c r="G66" s="15">
        <v>185</v>
      </c>
      <c r="H66" s="16"/>
      <c r="I66" s="66">
        <f>I62-I65</f>
        <v>91041</v>
      </c>
      <c r="J66" s="66">
        <f>J62-J65</f>
        <v>69531</v>
      </c>
      <c r="L66" s="2" t="s">
        <v>1209</v>
      </c>
    </row>
    <row r="67" spans="1:10" s="2" customFormat="1" ht="14.25" customHeight="1">
      <c r="A67" s="408" t="s">
        <v>2505</v>
      </c>
      <c r="B67" s="408"/>
      <c r="C67" s="408"/>
      <c r="D67" s="408"/>
      <c r="E67" s="408"/>
      <c r="F67" s="408"/>
      <c r="G67" s="15">
        <v>186</v>
      </c>
      <c r="H67" s="16"/>
      <c r="I67" s="66">
        <f>IF(I66&gt;0,I66,0)</f>
        <v>91041</v>
      </c>
      <c r="J67" s="66">
        <f>IF(J66&gt;0,J66,0)</f>
        <v>69531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1" activePane="bottomLeft" state="frozen"/>
      <selection pane="topLeft" activeCell="A1" sqref="A1"/>
      <selection pane="bottomLeft" activeCell="C1" sqref="C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31407797858; IVKOM D.D.</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31407797858; IVKOM D.D.</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11" activePane="bottomLeft" state="frozen"/>
      <selection pane="topLeft" activeCell="A1" sqref="A1"/>
      <selection pane="bottomLeft" activeCell="E1" sqref="E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31407797858; IVKOM D.D.</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600" verticalDpi="6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Brankica Kušen</cp:lastModifiedBy>
  <cp:lastPrinted>2022-08-24T05:39:04Z</cp:lastPrinted>
  <dcterms:created xsi:type="dcterms:W3CDTF">2008-10-17T11:51:54Z</dcterms:created>
  <dcterms:modified xsi:type="dcterms:W3CDTF">2022-09-27T10:30:21Z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