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<sst xmlns="http://schemas.openxmlformats.org/spreadsheetml/2006/main" count="3663" uniqueCount="2967">
  <si>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</si>
  <si>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</si>
  <si>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</si>
  <si>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</si>
  <si>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</si>
  <si>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</si>
  <si>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</si>
  <si>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</si>
  <si>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</si>
  <si>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</si>
  <si>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</si>
  <si>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</si>
  <si>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</si>
  <si>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</si>
  <si>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</si>
  <si>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</si>
  <si>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</si>
  <si>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</si>
  <si>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</si>
  <si>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</si>
  <si>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</si>
  <si>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</si>
  <si>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</si>
  <si>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</si>
  <si>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</si>
  <si>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</si>
  <si>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</si>
  <si>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</si>
  <si>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</si>
  <si>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</si>
  <si>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</si>
  <si>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</si>
  <si>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</si>
  <si>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</si>
  <si>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</si>
  <si>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</si>
  <si>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</si>
  <si>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</si>
  <si>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</si>
  <si>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</si>
  <si>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</si>
  <si>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</si>
  <si>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</si>
  <si>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</si>
  <si>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</si>
  <si>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</si>
  <si>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</si>
  <si>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</si>
  <si>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</si>
  <si>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</si>
  <si>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</si>
  <si>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</si>
  <si>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</si>
  <si>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</si>
  <si>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</si>
  <si>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</si>
  <si>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</si>
  <si>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</si>
  <si>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</si>
  <si>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</si>
  <si>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</si>
  <si>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</si>
  <si>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</si>
  <si>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</si>
  <si>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</si>
  <si>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</si>
  <si>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</si>
  <si>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</si>
  <si>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</si>
  <si>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</si>
  <si>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</si>
  <si>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</si>
  <si>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</si>
  <si>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</si>
  <si>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</si>
  <si>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</si>
  <si>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</si>
  <si>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</si>
  <si>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</si>
  <si>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</si>
  <si>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</si>
  <si>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</si>
  <si>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</si>
  <si>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</si>
  <si>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</si>
  <si>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</si>
  <si>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</si>
  <si>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</si>
  <si>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</si>
  <si>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</si>
  <si>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</si>
  <si>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</si>
  <si>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</si>
  <si>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</si>
  <si>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</si>
  <si>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</si>
  <si>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</si>
  <si>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</si>
  <si>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</si>
  <si>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</si>
  <si>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</si>
  <si>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</si>
  <si>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</si>
  <si>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</si>
  <si>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</si>
  <si>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</si>
  <si>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</si>
  <si>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</si>
  <si>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</si>
  <si>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</si>
  <si>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</si>
  <si>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</si>
  <si>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</si>
  <si>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</si>
  <si>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</si>
  <si>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</si>
  <si>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</si>
  <si>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</si>
  <si>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</si>
  <si>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</si>
  <si>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</si>
  <si>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</si>
  <si>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</si>
  <si>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</si>
  <si>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</si>
  <si>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</si>
  <si>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</si>
  <si>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</si>
  <si>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</si>
  <si>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</si>
  <si>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</si>
  <si>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</si>
  <si>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</si>
  <si>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</si>
  <si>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</si>
  <si>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</si>
  <si>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</si>
  <si>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</si>
  <si>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</si>
  <si>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</si>
  <si>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</si>
  <si>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</si>
  <si>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</si>
  <si>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</si>
  <si>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</si>
  <si>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</si>
  <si>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</si>
  <si>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</si>
  <si>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</si>
  <si>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</si>
  <si>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</si>
  <si>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</si>
  <si>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</si>
  <si>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</si>
  <si>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</si>
  <si>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</si>
  <si>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</si>
  <si>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</si>
  <si>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</si>
  <si>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</si>
  <si>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</si>
  <si>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</si>
  <si>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</si>
  <si>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</si>
  <si>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</si>
  <si>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</si>
  <si>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</si>
  <si>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</si>
  <si>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</si>
  <si>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</si>
  <si>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</si>
  <si>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</si>
  <si>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</si>
  <si>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</si>
  <si>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</si>
  <si>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</si>
  <si>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</si>
  <si>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</si>
  <si>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</si>
  <si>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</si>
  <si>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</si>
  <si>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</si>
  <si>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</si>
  <si>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</si>
  <si>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</si>
  <si>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</si>
  <si>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</si>
  <si>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</si>
  <si>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</si>
  <si>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</si>
  <si>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</si>
  <si>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</si>
  <si>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</si>
  <si>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</si>
  <si>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</si>
  <si>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</si>
  <si>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</si>
  <si>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</si>
  <si>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</si>
  <si>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</si>
  <si>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</si>
  <si>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</si>
  <si>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</si>
  <si>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</si>
  <si>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</si>
  <si>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</si>
  <si>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</si>
  <si>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</si>
  <si>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</si>
  <si>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</si>
  <si>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</si>
  <si>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</si>
  <si>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</si>
  <si>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</si>
  <si>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</si>
  <si>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</si>
  <si>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</si>
  <si>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</si>
  <si>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</si>
  <si>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</si>
  <si>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</si>
  <si>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</si>
  <si>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</si>
  <si>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</si>
  <si>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</si>
  <si>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</si>
  <si>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</si>
  <si>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</si>
  <si>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</si>
  <si>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</si>
  <si>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</si>
  <si>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</si>
  <si>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</si>
  <si>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</si>
  <si>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</si>
  <si>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</si>
  <si>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</si>
  <si>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</si>
  <si>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</si>
  <si>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</si>
  <si>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</si>
  <si>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</si>
  <si>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</si>
  <si>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</si>
  <si>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</si>
  <si>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</si>
  <si>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</si>
  <si>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</si>
  <si>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</si>
  <si>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</si>
  <si>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</si>
  <si>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</si>
  <si>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</si>
  <si>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</si>
  <si>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</si>
  <si>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</si>
  <si>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</si>
  <si>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</si>
  <si>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</si>
  <si>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</si>
  <si>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</si>
  <si>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</si>
  <si>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</si>
  <si>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</si>
  <si>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</si>
  <si>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</si>
  <si>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</si>
  <si>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</si>
  <si>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</si>
  <si>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</si>
  <si>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</si>
  <si>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</si>
  <si>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</si>
  <si>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</si>
  <si>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</si>
  <si>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</si>
  <si>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</si>
  <si>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</si>
  <si>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</si>
  <si>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</si>
  <si>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</si>
  <si>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</si>
  <si>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</si>
  <si>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</si>
  <si>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</si>
  <si>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</si>
  <si>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</si>
  <si>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</si>
  <si>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</si>
  <si>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</si>
  <si>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</si>
  <si>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</si>
  <si>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</si>
  <si>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</si>
  <si>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</si>
  <si>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</si>
  <si>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</si>
  <si>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</si>
  <si>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</si>
  <si>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</si>
  <si>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</si>
  <si>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</si>
  <si>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</si>
  <si>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</si>
  <si>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</si>
  <si>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</si>
  <si>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</si>
  <si>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</si>
  <si>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</si>
  <si>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</si>
  <si>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</si>
  <si>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</si>
  <si>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</si>
  <si>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</si>
  <si>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</si>
  <si>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</si>
  <si>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</si>
  <si>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</si>
  <si>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</si>
  <si>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</si>
  <si>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</si>
  <si>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</si>
  <si>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</si>
  <si>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</si>
  <si>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</si>
  <si>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</si>
  <si>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</si>
  <si>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</si>
  <si>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</si>
  <si>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</si>
  <si>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</si>
  <si>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</si>
  <si>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</si>
  <si>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</si>
  <si>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</si>
  <si>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</si>
  <si>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</si>
  <si>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</si>
  <si>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</si>
  <si>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</si>
  <si>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</si>
  <si>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</si>
  <si>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</si>
  <si>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</si>
  <si>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</si>
  <si>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</si>
  <si>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</si>
  <si>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</si>
  <si>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</si>
  <si>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</si>
  <si>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</si>
  <si>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</si>
  <si>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</si>
  <si>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</si>
  <si>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</si>
  <si>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</si>
  <si>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</si>
  <si>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</si>
  <si>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</si>
  <si>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</si>
  <si>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</si>
  <si>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</si>
  <si>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</si>
  <si>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</si>
  <si>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</si>
  <si>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</si>
  <si>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</si>
  <si>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</si>
  <si>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</si>
  <si>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</si>
  <si>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</si>
  <si>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</si>
  <si>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</si>
  <si>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</si>
  <si>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</si>
  <si>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</si>
  <si>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</si>
  <si>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</si>
  <si>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</si>
  <si>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</si>
  <si>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</si>
  <si>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</si>
  <si>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</si>
  <si>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</si>
  <si>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</si>
  <si>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</si>
  <si>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</si>
  <si>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</si>
  <si>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</si>
  <si>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</si>
  <si>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</si>
  <si>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</si>
  <si>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</si>
  <si>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</si>
  <si>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</si>
  <si>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</si>
  <si>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</si>
  <si>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</si>
  <si>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</si>
  <si>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</si>
  <si>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</si>
  <si>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</si>
  <si>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</si>
  <si>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</si>
  <si>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</si>
  <si>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</si>
  <si>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</si>
  <si>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</si>
  <si>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</si>
  <si>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</si>
  <si>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</si>
  <si>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</si>
  <si>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</si>
  <si>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</si>
  <si>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</si>
  <si>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</si>
  <si>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</si>
  <si>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</si>
  <si>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</si>
  <si>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</si>
  <si>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</si>
  <si>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</si>
  <si>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</si>
  <si>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</si>
  <si>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</si>
  <si>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</si>
  <si>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</si>
  <si>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</si>
  <si>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</si>
  <si>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</si>
  <si>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</si>
  <si>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</si>
  <si>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</si>
  <si>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</si>
  <si>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</si>
  <si>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</si>
  <si>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</si>
  <si>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</si>
  <si>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</si>
  <si>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</si>
  <si>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</si>
  <si>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</si>
  <si>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</si>
  <si>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</si>
  <si>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</si>
  <si>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</si>
  <si>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</si>
  <si>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</si>
  <si>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</si>
  <si>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</si>
  <si>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</si>
  <si>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</si>
  <si>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</si>
  <si>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</si>
  <si>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</si>
  <si>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</si>
  <si>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</si>
  <si>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</si>
  <si>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</si>
  <si>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</si>
  <si>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</si>
  <si>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</si>
  <si>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</si>
  <si>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</si>
  <si>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</si>
  <si>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</si>
  <si>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</si>
  <si>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</si>
  <si>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</si>
  <si>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</si>
  <si>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</si>
  <si>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</si>
  <si>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</si>
  <si>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</si>
  <si>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</si>
  <si>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</si>
  <si>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</si>
  <si>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</si>
  <si>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</si>
  <si>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</si>
  <si>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</si>
  <si>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</si>
  <si>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</si>
  <si>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</si>
  <si>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</si>
  <si>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</si>
  <si>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</si>
  <si>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</si>
  <si>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</si>
  <si>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</si>
  <si>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</si>
  <si>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</si>
  <si>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</si>
  <si>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</si>
  <si>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</si>
  <si>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</si>
  <si>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</si>
  <si>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</si>
  <si>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</si>
  <si>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</si>
  <si>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</si>
  <si>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</si>
  <si>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</si>
  <si>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</si>
  <si>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</si>
  <si>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</si>
  <si>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</si>
  <si>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</si>
  <si>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</si>
  <si>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</si>
  <si>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</si>
  <si>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</si>
  <si>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</si>
  <si>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</si>
  <si>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</si>
  <si>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</si>
  <si>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</si>
  <si>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</si>
  <si>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</si>
  <si>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</si>
  <si>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</si>
  <si>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</si>
  <si>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</si>
  <si>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</si>
  <si>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</si>
  <si>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</si>
  <si>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</si>
  <si>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</si>
  <si>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</si>
  <si>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</si>
  <si>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</si>
  <si>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</si>
  <si>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</si>
  <si>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</si>
  <si>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</si>
  <si>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</si>
  <si>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</si>
  <si>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</si>
  <si>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</si>
  <si>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</si>
  <si>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</si>
  <si>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</si>
  <si>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</si>
  <si>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</si>
  <si>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</si>
  <si>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</si>
  <si>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</si>
  <si>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</si>
  <si>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</si>
  <si>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</si>
  <si>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</si>
  <si>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</si>
  <si>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</si>
  <si>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</si>
  <si>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</si>
  <si>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</si>
  <si>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</si>
  <si>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</si>
  <si>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</si>
  <si>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</si>
  <si>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</si>
  <si>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</si>
  <si>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</si>
  <si>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</si>
  <si>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</si>
  <si>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</si>
  <si>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</si>
  <si>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</si>
  <si>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</si>
  <si>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</si>
  <si>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</si>
  <si>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</si>
  <si>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</si>
  <si>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</si>
  <si>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</si>
  <si>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</si>
  <si>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</si>
  <si>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</si>
  <si>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</si>
  <si>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</si>
  <si>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</si>
  <si>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</si>
  <si>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</si>
  <si>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</si>
  <si>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</si>
  <si>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</si>
  <si>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</si>
  <si>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</si>
  <si>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</si>
  <si>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</si>
  <si>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</si>
  <si>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</si>
  <si>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</si>
  <si>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</si>
  <si>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</si>
  <si>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</si>
  <si>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</si>
  <si>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</si>
  <si>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</si>
  <si>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</si>
  <si>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</si>
  <si>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</si>
  <si>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</si>
  <si>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</si>
  <si>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</si>
  <si>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</si>
  <si>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</si>
  <si>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</si>
  <si>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</si>
  <si>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</si>
  <si>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</si>
  <si>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</si>
  <si>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</si>
  <si>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</si>
  <si>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</si>
  <si>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</si>
  <si>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</si>
  <si>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</si>
  <si>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</si>
  <si>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</si>
  <si>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</si>
  <si>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</si>
  <si>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</si>
  <si>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</si>
  <si>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</si>
  <si>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</si>
  <si>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</si>
  <si>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</si>
  <si>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</si>
  <si>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</si>
  <si>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</si>
  <si>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</si>
  <si>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</si>
  <si>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</si>
  <si>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</si>
  <si>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</si>
  <si>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</si>
  <si>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</si>
  <si>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</si>
  <si>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</si>
  <si>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</si>
  <si>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</si>
  <si>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</si>
  <si>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</si>
  <si>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</si>
  <si>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</si>
  <si>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</si>
  <si>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</si>
  <si>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</si>
  <si>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</si>
  <si>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</si>
  <si>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</si>
  <si>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</si>
  <si>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</si>
  <si>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</si>
  <si>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</si>
  <si>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</si>
  <si>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</si>
  <si>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</si>
  <si>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</si>
  <si>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</si>
  <si>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</si>
  <si>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</si>
  <si>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</si>
  <si>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</si>
  <si>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</si>
  <si>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</si>
  <si>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</si>
  <si>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</si>
  <si>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</si>
  <si>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</si>
  <si>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</si>
  <si>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</si>
  <si>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</si>
  <si>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</si>
  <si>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</si>
  <si>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</si>
  <si>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</si>
  <si>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</si>
  <si>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</si>
  <si>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</si>
  <si>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</si>
  <si>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</si>
  <si>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</si>
  <si>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</si>
  <si>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</si>
  <si>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</si>
  <si>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</si>
  <si>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</si>
  <si>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</si>
  <si>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</si>
  <si>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</si>
  <si>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</si>
  <si>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</si>
  <si>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</si>
  <si>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</si>
  <si>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</si>
  <si>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</si>
  <si>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</si>
  <si>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</si>
  <si>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</si>
  <si>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</si>
  <si>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</si>
  <si>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</si>
  <si>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</si>
  <si>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</si>
  <si>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</si>
  <si>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</si>
  <si>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</si>
  <si>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</si>
  <si>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</si>
  <si>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</si>
  <si>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</si>
  <si>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</si>
  <si>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</si>
  <si>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</si>
  <si>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</si>
  <si>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</si>
  <si>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</si>
  <si>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</si>
  <si>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</si>
  <si>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</si>
  <si>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</si>
  <si>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</si>
  <si>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</si>
  <si>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</si>
  <si>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</si>
  <si>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</si>
  <si>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</si>
  <si>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</si>
  <si>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</si>
  <si>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</si>
  <si>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</si>
  <si>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</si>
  <si>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</si>
  <si>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</si>
  <si>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</si>
  <si>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</si>
  <si>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</si>
  <si>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</si>
  <si>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</si>
  <si>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</si>
  <si>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</si>
  <si>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</si>
  <si>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</si>
  <si>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</si>
  <si>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</si>
  <si>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</si>
  <si>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</si>
  <si>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</si>
  <si>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</si>
  <si>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</si>
  <si>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</si>
  <si>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</si>
  <si>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</si>
  <si>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</si>
  <si>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</si>
  <si>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</si>
  <si>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</si>
  <si>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</si>
  <si>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</si>
  <si>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</si>
  <si>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</si>
  <si>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</si>
  <si>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</si>
  <si>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</si>
  <si>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</si>
  <si>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</si>
  <si>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</si>
  <si>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</si>
  <si>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</si>
  <si>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</si>
  <si>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</si>
  <si>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</si>
  <si>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</si>
  <si>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</si>
  <si>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</si>
  <si>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</si>
  <si>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</si>
  <si>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</si>
  <si>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</si>
  <si>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</si>
  <si>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</si>
  <si>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</si>
  <si>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</si>
  <si>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</si>
  <si>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</si>
  <si>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</si>
  <si>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</si>
  <si>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</si>
  <si>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</si>
  <si>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</si>
  <si>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</si>
  <si>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</si>
  <si>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</si>
  <si>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</si>
  <si>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</si>
  <si>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</si>
  <si>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</si>
  <si>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</si>
  <si>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</si>
  <si>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</si>
  <si>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</si>
  <si>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</si>
  <si>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</si>
  <si>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</si>
  <si>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</si>
  <si>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</si>
  <si>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</si>
  <si>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</si>
  <si>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</si>
  <si>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</si>
  <si>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</si>
  <si>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</si>
  <si>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</si>
  <si>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</si>
  <si>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</si>
  <si>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</si>
  <si>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</si>
  <si>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</si>
  <si>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</si>
  <si>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</si>
  <si>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</si>
  <si>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</si>
  <si>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</si>
  <si>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</si>
  <si>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</si>
  <si>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</si>
  <si>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</si>
  <si>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</si>
  <si>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</si>
  <si>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</si>
  <si>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</si>
  <si>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</si>
  <si>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</si>
  <si>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</si>
  <si>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</si>
  <si>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</si>
  <si>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</si>
  <si>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</si>
  <si>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</si>
  <si>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</si>
  <si>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</si>
  <si>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</si>
  <si>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</si>
  <si>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</si>
  <si>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</si>
  <si>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</si>
  <si>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</si>
  <si>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</si>
  <si>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</si>
  <si>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</si>
  <si>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</si>
  <si>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</si>
  <si>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</si>
  <si>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</si>
  <si>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</si>
  <si>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</si>
  <si>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</si>
  <si>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</si>
  <si>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</si>
  <si>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</si>
  <si>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</si>
  <si>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</si>
  <si>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</si>
  <si>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</si>
  <si>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</si>
  <si>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</si>
  <si>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</si>
  <si>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</si>
  <si>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</si>
  <si>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</si>
  <si>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</si>
  <si>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</si>
  <si>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</si>
  <si>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</si>
  <si>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</si>
  <si>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</si>
  <si>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</si>
  <si>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</si>
  <si>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</si>
  <si>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</si>
  <si>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</si>
  <si>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</si>
  <si>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</si>
  <si>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</si>
  <si>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</si>
  <si>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</si>
  <si>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</si>
  <si>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</si>
  <si>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</si>
  <si>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</si>
  <si>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</si>
  <si>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</si>
  <si>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</si>
  <si>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</si>
  <si>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</si>
  <si>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</si>
  <si>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</si>
  <si>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</si>
  <si>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</si>
  <si>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</si>
  <si>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</si>
  <si>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</si>
  <si>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</si>
  <si>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</si>
  <si>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</si>
  <si>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</si>
  <si>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</si>
  <si>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</si>
  <si>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</si>
  <si>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</si>
  <si>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</si>
  <si>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</si>
  <si>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</si>
  <si>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</si>
  <si>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</si>
  <si>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</si>
  <si>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</si>
  <si>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</si>
  <si>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</si>
  <si>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</si>
  <si>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</si>
  <si>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</si>
  <si>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</si>
  <si>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</si>
  <si>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</si>
  <si>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</si>
  <si>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</si>
  <si>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</si>
  <si>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</si>
  <si>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</si>
  <si>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</si>
  <si>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</si>
  <si>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</si>
  <si>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</si>
  <si>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</si>
  <si>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</si>
  <si>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</si>
  <si>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</si>
  <si>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</si>
  <si>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</si>
  <si>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</si>
  <si>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</si>
  <si>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</si>
  <si>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</si>
  <si>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</si>
  <si>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</si>
  <si>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</si>
  <si>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</si>
  <si>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</si>
  <si>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</si>
  <si>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</si>
  <si>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</si>
  <si>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</si>
  <si>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</si>
  <si>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</si>
  <si>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</si>
  <si>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</si>
  <si>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</si>
  <si>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</si>
  <si>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</si>
  <si>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</si>
  <si>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</si>
  <si>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</si>
  <si>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</si>
  <si>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</si>
  <si>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</si>
  <si>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</si>
  <si>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</si>
  <si>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</si>
  <si>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</si>
  <si>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</si>
  <si>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</si>
  <si>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</si>
  <si>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</si>
  <si>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</si>
  <si>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</si>
  <si>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</si>
  <si>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</si>
  <si>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</si>
  <si>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</si>
  <si>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</si>
  <si>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</si>
  <si>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</si>
  <si>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</si>
  <si>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</si>
  <si>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</si>
  <si>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</si>
  <si>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</si>
  <si>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</si>
  <si>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</si>
  <si>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</si>
  <si>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</si>
  <si>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</si>
  <si>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</si>
  <si>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</si>
  <si>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</si>
  <si>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</si>
  <si>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</si>
  <si>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</si>
  <si>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</si>
  <si>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</si>
  <si>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</si>
  <si>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</si>
  <si>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</si>
  <si>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</si>
  <si>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</si>
  <si>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</si>
  <si>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</si>
  <si>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</si>
  <si>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</si>
  <si>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</si>
  <si>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</si>
  <si>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</si>
  <si>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</si>
  <si>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</si>
  <si>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</si>
  <si>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</si>
  <si>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</si>
  <si>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</si>
  <si>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</si>
  <si>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</si>
  <si>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</si>
  <si>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</si>
  <si>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</si>
  <si>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</si>
  <si>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</si>
  <si>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</si>
  <si>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</si>
  <si>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</si>
  <si>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</si>
  <si>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</si>
  <si>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</si>
  <si>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</si>
  <si>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</si>
  <si>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</si>
  <si>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</si>
  <si>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</si>
  <si>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</si>
  <si>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</si>
  <si>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</si>
  <si>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</si>
  <si>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</si>
  <si>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</si>
  <si>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</si>
  <si>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</si>
  <si>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</si>
  <si>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</si>
  <si>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</si>
  <si>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</si>
  <si>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</si>
  <si>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</si>
  <si>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</si>
  <si>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</si>
  <si>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</si>
  <si>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</si>
  <si>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</si>
  <si>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</si>
  <si>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</si>
  <si>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</si>
  <si>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</si>
  <si>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</si>
  <si>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</si>
  <si>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</si>
  <si>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</si>
  <si>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</si>
  <si>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</si>
  <si>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</si>
  <si>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</si>
  <si>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</si>
  <si>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</si>
  <si>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</si>
  <si>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</si>
  <si>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</si>
  <si>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</si>
  <si>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</si>
  <si>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</si>
  <si>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</si>
  <si>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</si>
  <si>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</si>
  <si>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</si>
  <si>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</si>
  <si>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</si>
  <si>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</si>
  <si>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</si>
  <si>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</si>
  <si>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</si>
  <si>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</si>
  <si>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</si>
  <si>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</si>
  <si>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</si>
  <si>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</si>
  <si>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</si>
  <si>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</si>
  <si>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</si>
  <si>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</si>
  <si>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</si>
  <si>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</si>
  <si>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</si>
  <si>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</si>
  <si>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</si>
  <si>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</si>
  <si>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</si>
  <si>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</si>
  <si>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</si>
  <si>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</si>
  <si>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</si>
  <si>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</si>
  <si>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</si>
  <si>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</si>
  <si>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</si>
  <si>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</si>
  <si>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</si>
  <si>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</si>
  <si>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</si>
  <si>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</si>
  <si>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</si>
  <si>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</si>
  <si>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</si>
  <si>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</si>
  <si>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</si>
  <si>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</si>
  <si>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</si>
  <si>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</si>
  <si>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</si>
  <si>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</si>
  <si>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</si>
  <si>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</si>
  <si>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</si>
  <si>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</si>
  <si>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</si>
  <si>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</si>
  <si>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</si>
  <si>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</si>
  <si>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</si>
  <si>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</si>
  <si>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</si>
  <si>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</si>
  <si>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</si>
  <si>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</si>
  <si>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</si>
  <si>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</si>
  <si>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</si>
  <si>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</si>
  <si>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</si>
  <si>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</si>
  <si>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</si>
  <si>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</si>
  <si>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</si>
  <si>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</si>
  <si>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</si>
  <si>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</si>
  <si>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</si>
  <si>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</si>
  <si>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</si>
  <si>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</si>
  <si>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</si>
  <si>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</si>
  <si>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</si>
  <si>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</si>
  <si>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</si>
  <si>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</si>
  <si>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</si>
  <si>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</si>
  <si>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</si>
  <si>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</si>
  <si>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</si>
  <si>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</si>
  <si>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</si>
  <si>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</si>
  <si>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</si>
  <si>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</si>
  <si>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</si>
  <si>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</si>
  <si>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</si>
  <si>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</si>
  <si>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</si>
  <si>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</si>
  <si>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</si>
  <si>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</si>
  <si>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</si>
  <si>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</si>
  <si>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</si>
  <si>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</si>
  <si>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</si>
  <si>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</si>
  <si>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</si>
  <si>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</si>
  <si>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</si>
  <si>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</si>
  <si>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</si>
  <si>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</si>
  <si>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</si>
  <si>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</si>
  <si>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</si>
  <si>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</si>
  <si>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</si>
  <si>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</si>
  <si>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</si>
  <si>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</si>
  <si>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</si>
  <si>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</si>
  <si>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</si>
  <si>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</si>
  <si>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</si>
  <si>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</si>
  <si>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</si>
  <si>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</si>
  <si>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</si>
  <si>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</si>
  <si>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</si>
  <si>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</si>
  <si>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</si>
  <si>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</si>
  <si>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</si>
  <si>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</si>
  <si>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</si>
  <si>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</si>
  <si>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</si>
  <si>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</si>
  <si>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</si>
  <si>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</si>
  <si>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</si>
  <si>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</si>
  <si>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</si>
  <si>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</si>
  <si>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</si>
  <si>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</si>
  <si>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</si>
  <si>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</si>
  <si>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</si>
  <si>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</si>
  <si>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</si>
  <si>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</si>
  <si>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</si>
  <si>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</si>
  <si>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</si>
  <si>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</si>
  <si>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</si>
  <si>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</si>
  <si>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</si>
  <si>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</si>
  <si>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</si>
  <si>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</si>
  <si>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</si>
  <si>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</si>
  <si>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</si>
  <si>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</si>
  <si>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</si>
  <si>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</si>
  <si>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</si>
  <si>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</si>
  <si>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</si>
  <si>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</si>
  <si>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</si>
  <si>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</si>
  <si>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</si>
  <si>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</si>
  <si>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</si>
  <si>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</si>
  <si>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</si>
  <si>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</si>
  <si>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</si>
  <si>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</si>
  <si>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</si>
  <si>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</si>
  <si>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</si>
  <si>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</si>
  <si>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</si>
  <si>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</si>
  <si>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</si>
  <si>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</si>
  <si>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</si>
  <si>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</si>
  <si>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</si>
  <si>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</si>
  <si>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</si>
  <si>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</si>
  <si>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</si>
  <si>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</si>
  <si>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</si>
  <si>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</si>
  <si>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</si>
  <si>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</si>
  <si>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</si>
  <si>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</si>
  <si>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</si>
  <si>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</si>
  <si>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</si>
  <si>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</si>
  <si>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</si>
  <si>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</si>
  <si>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</si>
  <si>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</si>
  <si>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</si>
  <si>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</si>
  <si>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</si>
  <si>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</si>
  <si>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</si>
  <si>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</si>
  <si>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</si>
  <si>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</si>
  <si>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</si>
  <si>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</si>
  <si>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</si>
  <si>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</si>
  <si>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</si>
  <si>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</si>
  <si>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</si>
  <si>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</si>
  <si>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</si>
  <si>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</si>
  <si>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</si>
  <si>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</si>
  <si>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</si>
  <si>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</si>
  <si>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</si>
  <si>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</si>
  <si>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</si>
  <si>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</si>
  <si>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</si>
  <si>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</si>
  <si>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</si>
  <si>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</si>
  <si>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</si>
  <si>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</si>
  <si>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</si>
  <si>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</si>
  <si>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</si>
  <si>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</si>
  <si>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</si>
  <si>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</si>
  <si>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</si>
  <si>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</si>
  <si>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</si>
  <si>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</si>
  <si>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</si>
  <si>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</si>
  <si>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</si>
  <si>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</si>
  <si>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</si>
  <si>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</si>
  <si>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</si>
  <si>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</si>
  <si>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</si>
  <si>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</si>
  <si>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</si>
  <si>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</si>
  <si>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</si>
  <si>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</si>
  <si>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</si>
  <si>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</si>
  <si>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</si>
  <si>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</si>
  <si>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</si>
  <si>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</si>
  <si>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</si>
  <si>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</si>
  <si>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</si>
  <si>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</si>
  <si>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</si>
  <si>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</si>
  <si>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</si>
  <si>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</si>
  <si>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</si>
  <si>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</si>
  <si>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</si>
  <si>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</si>
  <si>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</si>
  <si>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</si>
  <si>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</si>
  <si>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</si>
  <si>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</si>
  <si>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</si>
  <si>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</si>
  <si>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</si>
  <si>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</si>
  <si>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</si>
  <si>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</si>
  <si>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</si>
  <si>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</si>
  <si>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</si>
  <si>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</si>
  <si>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</si>
  <si>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</si>
  <si>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</si>
  <si>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</si>
  <si>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</si>
  <si>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</si>
  <si>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</si>
  <si>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</si>
  <si>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</si>
  <si>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</si>
  <si>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</si>
  <si>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</si>
  <si>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</si>
  <si>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</si>
  <si>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</si>
  <si>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</si>
  <si>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</si>
  <si>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</si>
  <si>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</si>
  <si>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</si>
  <si>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</si>
  <si>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</si>
  <si>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</si>
  <si>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</si>
  <si>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</si>
  <si>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</si>
  <si>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</si>
  <si>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</si>
  <si>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</si>
  <si>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</si>
  <si>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</si>
  <si>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</si>
  <si>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</si>
  <si>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</si>
  <si>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</si>
  <si>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</si>
  <si>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</si>
  <si>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</si>
  <si>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</si>
  <si>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</si>
  <si>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</si>
  <si>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</si>
  <si>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</si>
  <si>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</si>
  <si>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</si>
  <si>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</si>
  <si>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</si>
  <si>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</si>
  <si>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</si>
  <si>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</si>
  <si>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</si>
  <si>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</si>
  <si>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</si>
  <si>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</si>
  <si>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</si>
  <si>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</si>
  <si>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</si>
  <si>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</si>
  <si>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</si>
  <si>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</si>
  <si>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</si>
  <si>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</si>
  <si>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</si>
  <si>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</si>
  <si>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</si>
  <si>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</si>
  <si>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</si>
  <si>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</si>
  <si>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</si>
  <si>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</si>
  <si>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</si>
  <si>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</si>
  <si>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</si>
  <si>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</si>
  <si>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</si>
  <si>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</si>
  <si>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</si>
  <si>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</si>
  <si>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</si>
  <si>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</si>
  <si>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</si>
  <si>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</si>
  <si>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</si>
  <si>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</si>
  <si>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</si>
  <si>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</si>
  <si>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</si>
  <si>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</si>
  <si>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</si>
  <si>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</si>
  <si>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</si>
  <si>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</si>
  <si>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</si>
  <si>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</si>
  <si>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</si>
  <si>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</si>
  <si>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</si>
  <si>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</si>
  <si>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</si>
  <si>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</si>
  <si>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</si>
  <si>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</si>
  <si>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</si>
  <si>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</si>
  <si>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</si>
  <si>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</si>
  <si>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</si>
  <si>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</si>
  <si>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</si>
  <si>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</si>
  <si>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</si>
  <si>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</si>
  <si>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</si>
  <si>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</si>
  <si>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</si>
  <si>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</si>
  <si>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</si>
  <si>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</si>
  <si>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</si>
  <si>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</si>
  <si>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</si>
  <si>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</si>
  <si>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</si>
  <si>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</si>
  <si>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</si>
  <si>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</si>
  <si>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</si>
  <si>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</si>
  <si>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</si>
  <si>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</si>
  <si>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</si>
  <si>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</si>
  <si>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</si>
  <si>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</si>
  <si>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</si>
  <si>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</si>
  <si>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</si>
  <si>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</si>
  <si>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</si>
  <si>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</si>
  <si>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</si>
  <si>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</si>
  <si>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</si>
  <si>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</si>
  <si>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</si>
  <si>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</si>
  <si>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</si>
  <si>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</si>
  <si>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</si>
  <si>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</si>
  <si>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</si>
  <si>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</si>
  <si>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</si>
  <si>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</si>
  <si>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</si>
  <si>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</si>
  <si>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</si>
  <si>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</si>
  <si>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</si>
  <si>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</si>
  <si>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</si>
  <si>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</si>
  <si>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</si>
  <si>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</si>
  <si>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</si>
  <si>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</si>
  <si>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</si>
  <si>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</si>
  <si>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</si>
  <si>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</si>
  <si>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</si>
  <si>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</si>
  <si>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</si>
  <si>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</si>
  <si>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</si>
  <si>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</si>
  <si>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</si>
  <si>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</si>
  <si>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</si>
  <si>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</si>
  <si>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</si>
  <si>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</si>
  <si>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</si>
  <si>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</si>
  <si>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</si>
  <si>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</si>
  <si>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</si>
  <si>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</si>
  <si>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</si>
  <si>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</si>
  <si>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</si>
  <si>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</si>
  <si>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</si>
  <si>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</si>
  <si>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</si>
  <si>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</si>
  <si>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</si>
  <si>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</si>
  <si>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</si>
  <si>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</si>
  <si>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</si>
  <si>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</si>
  <si>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</si>
  <si>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</si>
  <si>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</si>
  <si>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</si>
  <si>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</si>
  <si>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</si>
  <si>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</si>
  <si>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</si>
  <si>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</si>
  <si>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</si>
  <si>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</si>
  <si>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</si>
  <si>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</si>
  <si>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</si>
  <si>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</si>
  <si>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</si>
  <si>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</si>
  <si>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</si>
  <si>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</si>
  <si>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</si>
  <si>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</si>
  <si>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</si>
  <si>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</si>
  <si>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</si>
  <si>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</si>
  <si>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</si>
  <si>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</si>
  <si>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</si>
  <si>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</si>
  <si>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</si>
  <si>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</si>
  <si>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</si>
  <si>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</si>
  <si>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</si>
  <si>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</si>
  <si>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</si>
  <si>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</si>
  <si>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</si>
  <si>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</si>
  <si>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</si>
  <si>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</si>
  <si>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</si>
  <si>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</si>
  <si>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</si>
  <si>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</si>
  <si>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</si>
  <si>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</si>
  <si>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</si>
  <si>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</si>
  <si>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</si>
  <si>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</si>
  <si>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</si>
  <si>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</si>
  <si>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</si>
  <si>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</si>
  <si>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</si>
  <si>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</si>
  <si>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</si>
  <si>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</si>
  <si>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</si>
  <si>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</si>
  <si>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</si>
  <si>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</si>
  <si>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</si>
  <si>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</si>
  <si>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</si>
  <si>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</si>
  <si>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</si>
  <si>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</si>
  <si>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</si>
  <si>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</si>
  <si>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</si>
  <si>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</si>
  <si>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</si>
  <si>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</si>
  <si>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</si>
  <si>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</si>
  <si>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</si>
  <si>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</si>
  <si>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</si>
  <si>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</si>
  <si>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</si>
  <si>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</si>
  <si>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</si>
  <si>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</si>
  <si>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</si>
  <si>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</si>
  <si>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</si>
  <si>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</si>
  <si>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</si>
  <si>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</si>
  <si>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</si>
  <si>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</si>
  <si>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</si>
  <si>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</si>
  <si>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</si>
  <si>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</si>
  <si>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</si>
  <si>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</si>
  <si>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</si>
  <si>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</si>
  <si>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</si>
  <si>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</si>
  <si>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</si>
  <si>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</si>
  <si>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</si>
  <si>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</si>
  <si>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</si>
  <si>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</si>
  <si>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</si>
  <si>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</si>
  <si>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</si>
  <si>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</si>
  <si>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</si>
  <si>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</si>
  <si>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</si>
  <si>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</si>
  <si>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</si>
  <si>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</si>
  <si>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</si>
  <si>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</si>
  <si>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</si>
  <si>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</si>
  <si>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</si>
  <si>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</si>
  <si>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</si>
  <si>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</si>
  <si>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</si>
  <si>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</si>
  <si>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</si>
  <si>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</si>
  <si>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</si>
  <si>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</si>
  <si>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</si>
  <si>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</si>
  <si>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</si>
  <si>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</si>
  <si>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</si>
  <si>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</si>
  <si>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</si>
  <si>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</si>
  <si>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</si>
  <si>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</si>
  <si>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</si>
  <si>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</si>
  <si>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</si>
  <si>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</si>
  <si>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</si>
  <si>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</si>
  <si>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</si>
  <si>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</si>
  <si>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</si>
  <si>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</si>
  <si>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</si>
  <si>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</si>
  <si>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</si>
  <si>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</si>
  <si>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</si>
  <si>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</si>
  <si>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</si>
  <si>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</si>
  <si>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</si>
  <si>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</si>
  <si>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</si>
  <si>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</si>
  <si>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</si>
  <si>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</si>
  <si>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</si>
  <si>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</si>
  <si>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</si>
  <si>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</si>
  <si>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</si>
  <si>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</si>
  <si>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</si>
  <si>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</si>
  <si>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</si>
  <si>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</si>
  <si>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</si>
  <si>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</si>
  <si>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</si>
  <si>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</si>
  <si>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</si>
  <si>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</si>
  <si>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</si>
  <si>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</si>
  <si>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</si>
  <si>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</si>
  <si>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</si>
  <si>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</si>
  <si>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</si>
  <si>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</si>
  <si>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</si>
  <si>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</si>
  <si>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</si>
  <si>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</si>
  <si>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</si>
  <si>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</si>
  <si>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</si>
  <si>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</si>
  <si>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</si>
  <si>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</si>
  <si>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</si>
  <si>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</si>
  <si>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</si>
  <si>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</si>
  <si>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</si>
  <si>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</si>
  <si>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</si>
  <si>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</si>
  <si>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</si>
  <si>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</si>
  <si>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</si>
  <si>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</si>
  <si>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</si>
  <si>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</si>
  <si>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</si>
  <si>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</si>
  <si>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</si>
  <si>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</si>
  <si>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</si>
  <si>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</si>
  <si>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</si>
  <si>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</si>
  <si>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</si>
  <si>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</si>
  <si>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</si>
  <si>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</si>
  <si>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</si>
  <si>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</si>
  <si>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</si>
  <si>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</si>
  <si>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</si>
  <si>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</si>
  <si>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</si>
  <si>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</si>
  <si>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</si>
  <si>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</si>
  <si>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</si>
  <si>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</si>
  <si>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</si>
  <si>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</si>
  <si>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</si>
  <si>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</si>
  <si>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</si>
  <si>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</si>
  <si>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</si>
  <si>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</si>
  <si>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</si>
  <si>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</si>
  <si>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</si>
  <si>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</si>
  <si>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</si>
  <si>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</si>
  <si>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</si>
  <si>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</si>
  <si>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</si>
  <si>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</si>
  <si>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</si>
  <si>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</si>
  <si>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</si>
  <si>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</si>
  <si>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</si>
  <si>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</si>
  <si>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</si>
  <si>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</si>
  <si>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</si>
  <si>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</si>
  <si>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</si>
  <si>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</si>
  <si>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</si>
  <si>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</si>
  <si>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</si>
  <si>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</si>
  <si>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</si>
  <si>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</si>
  <si>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</si>
  <si>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</si>
  <si>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</si>
  <si>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</si>
  <si>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</si>
  <si>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</si>
  <si>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</si>
  <si>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</si>
  <si>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</si>
  <si>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</si>
  <si>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</si>
  <si>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</si>
  <si>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</si>
  <si>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</si>
  <si>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</si>
  <si>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</si>
  <si>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</si>
  <si>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</si>
  <si>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</si>
  <si>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</si>
  <si>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</si>
  <si>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</si>
  <si>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</si>
  <si>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</si>
  <si>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</si>
  <si>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</si>
  <si>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</si>
  <si>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</si>
  <si>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</si>
  <si>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</si>
  <si>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</si>
  <si>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</si>
  <si>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</si>
  <si>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</si>
  <si>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</si>
  <si>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</si>
  <si>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</si>
  <si>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</si>
  <si>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</si>
  <si>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</si>
  <si>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</si>
  <si>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</si>
  <si>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</si>
  <si>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</si>
  <si>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</si>
  <si>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</si>
  <si>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</si>
  <si>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</si>
  <si>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</si>
  <si>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</si>
  <si>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</si>
  <si>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</si>
  <si>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</si>
  <si>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</si>
  <si>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</si>
  <si>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</si>
  <si>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</si>
  <si>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</si>
  <si>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</si>
  <si>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</si>
  <si>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</si>
  <si>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</si>
  <si>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</si>
  <si>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</si>
  <si>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</si>
  <si>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</si>
  <si>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</si>
  <si>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</si>
  <si>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</si>
  <si>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</si>
  <si>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</si>
  <si>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</si>
  <si>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</si>
  <si>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</si>
  <si>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</si>
  <si>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</si>
  <si>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</si>
  <si>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</si>
  <si>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</si>
  <si>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</si>
  <si>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</si>
  <si>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</si>
  <si>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</si>
  <si>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</si>
  <si>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</si>
  <si>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</si>
  <si>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</si>
  <si>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</si>
  <si>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</si>
  <si>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</si>
  <si>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</si>
  <si>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</si>
  <si>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</si>
  <si>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</si>
  <si>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</si>
  <si>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</si>
  <si>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</si>
  <si>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</si>
  <si>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</si>
  <si>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</si>
  <si>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</si>
  <si>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</si>
  <si>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</si>
  <si>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</si>
  <si>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</si>
  <si>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</si>
  <si>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</si>
  <si>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</si>
  <si>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</si>
  <si>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</si>
  <si>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</si>
  <si>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</si>
  <si>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</si>
  <si>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</si>
  <si>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</si>
  <si>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</si>
  <si>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</si>
  <si>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</si>
  <si>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</si>
  <si>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</si>
  <si>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</si>
  <si>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</si>
  <si>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</si>
  <si>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</si>
  <si>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</si>
  <si>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</si>
  <si>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</si>
  <si>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</si>
  <si>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</si>
  <si>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</si>
  <si>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</si>
  <si>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</si>
  <si>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</si>
  <si>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</si>
  <si>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</si>
  <si>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</si>
  <si>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</si>
  <si>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</si>
  <si>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</si>
  <si>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</si>
  <si>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</si>
  <si>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</si>
  <si>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</si>
  <si>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</si>
  <si>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</si>
  <si>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</si>
  <si>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</si>
  <si>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</si>
  <si>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</si>
  <si>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</si>
  <si>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</si>
  <si>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</si>
  <si>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</si>
  <si>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</si>
  <si>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</si>
  <si>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</si>
  <si>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</si>
  <si>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</si>
  <si>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</si>
  <si>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</si>
  <si>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</si>
  <si>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</si>
  <si>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</si>
  <si>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</si>
  <si>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</si>
  <si>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</si>
  <si>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</si>
  <si>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</si>
  <si>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</si>
  <si>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</si>
  <si>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</si>
  <si>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</si>
  <si>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</si>
  <si>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</si>
  <si>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</si>
  <si>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</si>
  <si>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</si>
  <si>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</si>
  <si>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</si>
  <si>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</si>
  <si>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</si>
  <si>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</si>
  <si>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</si>
  <si>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</si>
  <si>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</si>
  <si>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</si>
  <si>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</si>
  <si>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</si>
  <si>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</si>
  <si>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</si>
  <si>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</si>
  <si>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</si>
  <si>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</si>
  <si>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</si>
  <si>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</si>
  <si>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</si>
  <si>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</si>
  <si>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</si>
  <si>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</si>
  <si>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</si>
  <si>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</si>
  <si>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</si>
  <si>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</si>
  <si>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</si>
  <si>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</si>
  <si>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</si>
  <si>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</si>
  <si>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</si>
  <si>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</si>
  <si>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</si>
  <si>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</si>
  <si>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</si>
  <si>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</si>
  <si>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</si>
  <si>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</si>
  <si>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</si>
  <si>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</si>
  <si>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</si>
  <si>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</si>
  <si>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</si>
  <si>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</si>
  <si>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</si>
  <si>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</si>
  <si>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</si>
  <si>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</si>
  <si>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</si>
  <si>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</si>
  <si>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</si>
  <si>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</si>
  <si>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</si>
  <si>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</si>
  <si>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</si>
  <si>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</si>
  <si>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</si>
  <si>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</si>
  <si>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</si>
  <si>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</si>
  <si>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</si>
  <si>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</si>
  <si>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</si>
  <si>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</si>
  <si>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</si>
  <si>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</si>
  <si>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</si>
  <si>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</si>
  <si>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</si>
  <si>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</si>
  <si>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</si>
  <si>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</si>
  <si>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</si>
  <si>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</si>
  <si>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</si>
  <si>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</si>
  <si>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</si>
  <si>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</si>
  <si>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</si>
  <si>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</si>
  <si>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</si>
  <si>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</si>
  <si>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</si>
  <si>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</si>
  <si>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</si>
  <si>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</si>
  <si>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</si>
  <si>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</si>
  <si>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</si>
  <si>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</si>
  <si>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</si>
  <si>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</si>
  <si>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</si>
  <si>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</si>
  <si>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</si>
  <si>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</si>
  <si>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</si>
  <si>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</si>
  <si>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</si>
  <si>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</si>
  <si>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</si>
  <si>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</si>
  <si>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</si>
  <si>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</si>
  <si>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</si>
  <si>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</si>
  <si>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</si>
  <si>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</si>
  <si>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</si>
  <si>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</si>
  <si>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</si>
  <si>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</si>
  <si>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</si>
  <si>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</si>
  <si>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</si>
  <si>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</si>
  <si>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</si>
  <si>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</si>
  <si>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</si>
  <si>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</si>
  <si>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</si>
  <si>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</si>
  <si>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</si>
  <si>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</si>
  <si>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</si>
  <si>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</si>
  <si>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</si>
  <si>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</si>
  <si>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</si>
  <si>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</si>
  <si>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</si>
  <si>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</si>
  <si>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</si>
  <si>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</si>
  <si>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</si>
  <si>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</si>
  <si>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</si>
  <si>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</si>
  <si>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</si>
  <si>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</si>
  <si>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</si>
  <si>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</si>
  <si>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</si>
  <si>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</si>
  <si>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</si>
  <si>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</si>
  <si>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</si>
  <si>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</si>
  <si>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</si>
  <si>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</si>
  <si>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</si>
  <si>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</si>
  <si>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</si>
  <si>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</si>
  <si>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</si>
  <si>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</si>
  <si>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</si>
  <si>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</si>
  <si>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</si>
  <si>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</si>
  <si>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</si>
  <si>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</si>
  <si>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</si>
  <si>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</si>
  <si>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</si>
  <si>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</si>
  <si>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</si>
  <si>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</si>
  <si>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</si>
  <si>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</si>
  <si>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</si>
  <si>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</si>
  <si>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</si>
  <si>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</si>
  <si>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</si>
  <si>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</si>
  <si>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</si>
  <si>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</si>
  <si>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</si>
  <si>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</si>
  <si>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</si>
  <si>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</si>
  <si>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</si>
  <si>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</si>
  <si>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</si>
  <si>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</si>
  <si>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</si>
  <si>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</si>
  <si>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</si>
  <si>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</si>
  <si>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</si>
  <si>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</si>
  <si>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</si>
  <si>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</si>
  <si>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</si>
  <si>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</si>
  <si>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</si>
  <si>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</si>
  <si>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</si>
  <si>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</si>
  <si>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</si>
  <si>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</si>
  <si>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</si>
  <si>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</si>
  <si>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</si>
  <si>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</si>
  <si>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</si>
  <si>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</si>
  <si>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</si>
  <si>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</si>
  <si>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</si>
  <si>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</si>
  <si>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</si>
  <si>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</si>
  <si>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</si>
  <si>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</si>
  <si>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</si>
  <si>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</si>
  <si>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</si>
  <si>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</si>
  <si>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</si>
  <si>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</si>
  <si>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</si>
  <si>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</si>
  <si>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</si>
  <si>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</si>
  <si>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</si>
  <si>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</si>
  <si>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</si>
  <si>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</si>
  <si>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</si>
  <si>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</si>
  <si>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</si>
  <si>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</si>
  <si>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</si>
  <si>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</si>
  <si>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</si>
  <si>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</si>
  <si>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</si>
  <si>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</si>
  <si>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</si>
  <si>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</si>
  <si>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</si>
  <si>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</si>
  <si>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</si>
  <si>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</si>
  <si>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</si>
  <si>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</si>
  <si>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</si>
  <si>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</si>
  <si>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</si>
  <si>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</si>
  <si>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</si>
  <si>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</si>
  <si>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</si>
  <si>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</si>
  <si>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</si>
  <si>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</si>
  <si>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</si>
  <si>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</si>
  <si>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</si>
  <si>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</si>
  <si>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</si>
  <si>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</si>
  <si>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</si>
  <si>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</si>
  <si>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</si>
  <si>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</si>
  <si>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</si>
  <si>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</si>
  <si>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</si>
  <si>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</si>
  <si>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</si>
  <si>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</si>
  <si>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</si>
  <si>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</si>
  <si>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</si>
  <si>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</si>
  <si>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</si>
  <si>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</si>
  <si>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</si>
  <si>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</si>
  <si>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</si>
  <si>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</si>
  <si>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</si>
  <si>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</si>
  <si>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</si>
  <si>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</si>
  <si>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</si>
  <si>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</si>
  <si>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</si>
  <si>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</si>
  <si>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</si>
  <si>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</si>
  <si>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</si>
  <si>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</si>
  <si>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</si>
  <si>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</si>
  <si>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</si>
  <si>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</si>
  <si>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</si>
  <si>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</si>
  <si>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</si>
  <si>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</si>
  <si>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</si>
  <si>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</si>
  <si>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</si>
  <si>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</si>
  <si>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</si>
  <si>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</si>
  <si>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</si>
  <si>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</si>
  <si>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</si>
  <si>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</si>
  <si>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</si>
  <si>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</si>
  <si>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</si>
  <si>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</si>
  <si>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</si>
  <si>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</si>
  <si>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</si>
  <si>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</si>
  <si>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</si>
  <si>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</si>
  <si>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</si>
  <si>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</si>
  <si>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</si>
  <si>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</si>
  <si>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</si>
  <si>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</si>
  <si>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</si>
  <si>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</si>
  <si>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</si>
  <si>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</si>
  <si>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</si>
  <si>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</si>
  <si>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</si>
  <si>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</si>
  <si>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</si>
  <si>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</si>
  <si>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</si>
  <si>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</si>
  <si>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</si>
  <si>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</si>
  <si>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</si>
  <si>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</si>
  <si>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</si>
  <si>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</si>
  <si>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</si>
  <si>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</si>
  <si>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</si>
  <si>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</si>
  <si>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</si>
  <si>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</si>
  <si>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</si>
  <si>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</si>
  <si>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</si>
  <si>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</si>
  <si>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</si>
  <si>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</si>
  <si>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</si>
  <si>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</si>
  <si>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</si>
  <si>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</si>
  <si>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</si>
  <si>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</si>
  <si>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</si>
  <si>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</si>
  <si>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</si>
  <si>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</si>
  <si>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</si>
  <si>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</si>
  <si>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</si>
  <si>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</si>
  <si>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</si>
  <si>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</si>
  <si>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</si>
  <si>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</si>
  <si>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</si>
  <si>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</si>
  <si>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</si>
  <si>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</si>
  <si>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</si>
  <si>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</si>
  <si>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</si>
  <si>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</si>
  <si>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</si>
  <si>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</si>
  <si>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</si>
  <si>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</si>
  <si>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</si>
  <si>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</si>
  <si>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</si>
  <si>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</si>
  <si>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</si>
  <si>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</si>
  <si>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</si>
  <si>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</si>
  <si>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</si>
  <si>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</si>
  <si>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</si>
  <si>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</si>
  <si>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</si>
  <si>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</si>
  <si>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</si>
  <si>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</si>
  <si>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</si>
  <si>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</si>
  <si>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</si>
  <si>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</si>
  <si>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</si>
  <si>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</si>
  <si>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</si>
  <si>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</si>
  <si>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</si>
  <si>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</si>
  <si>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</si>
  <si>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</si>
  <si>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</si>
  <si>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</si>
  <si>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</si>
  <si>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</si>
  <si>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</si>
  <si>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</si>
  <si>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</si>
  <si>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</si>
  <si>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</si>
  <si>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</si>
  <si>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</si>
  <si>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</si>
  <si>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</si>
  <si>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</si>
  <si>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</si>
  <si>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</si>
  <si>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</si>
  <si>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</si>
  <si>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</si>
  <si>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</si>
  <si>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</si>
  <si>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</si>
  <si>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</si>
  <si>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</si>
  <si>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</si>
  <si>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</si>
  <si>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</si>
  <si>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</si>
  <si>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</si>
  <si>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</si>
  <si>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</si>
  <si>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</si>
  <si>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</si>
  <si>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</si>
  <si>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</si>
  <si>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</si>
  <si>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</si>
  <si>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</si>
  <si>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</si>
  <si>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</si>
  <si>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</si>
  <si>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</si>
  <si>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</si>
  <si>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</si>
  <si>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</si>
  <si>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</si>
  <si>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</si>
  <si>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</si>
  <si>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</si>
  <si>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</si>
  <si>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</si>
  <si>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</si>
  <si>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</si>
  <si>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</si>
  <si>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</si>
  <si>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</si>
  <si>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</si>
  <si>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</si>
  <si>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</si>
  <si>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</si>
  <si>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</si>
  <si>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</si>
  <si>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</si>
  <si>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</si>
  <si>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</si>
  <si>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</si>
  <si>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</si>
  <si>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</si>
  <si>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</si>
  <si>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</si>
  <si>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</si>
  <si>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</si>
  <si>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</si>
  <si>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</si>
  <si>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</si>
  <si>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</si>
  <si>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</si>
  <si>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</si>
  <si>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</si>
  <si>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</si>
  <si>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</si>
  <si>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</si>
  <si>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</si>
  <si>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</si>
  <si>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</si>
  <si>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</si>
  <si>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</si>
  <si>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</si>
  <si>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</si>
  <si>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</si>
  <si>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</si>
  <si>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</si>
  <si>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</si>
  <si>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</si>
  <si>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</si>
  <si>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</si>
  <si>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</si>
  <si>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</si>
  <si>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</si>
  <si>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</si>
  <si>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</si>
  <si>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</si>
  <si>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</si>
  <si>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</si>
  <si>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</si>
  <si>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</si>
  <si>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</si>
  <si>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</si>
  <si>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</si>
  <si>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</si>
  <si>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</si>
  <si>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</si>
  <si>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</si>
  <si>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</si>
  <si>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</si>
  <si>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</si>
  <si>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</si>
  <si>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</si>
  <si>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</si>
  <si>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</si>
  <si>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</si>
  <si>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</si>
  <si>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</si>
  <si>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</si>
  <si>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</si>
  <si>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</si>
  <si>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</si>
  <si>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</si>
  <si>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</si>
  <si>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</si>
  <si>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</si>
  <si>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</si>
  <si>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</si>
  <si>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</si>
  <si>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</si>
  <si>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</si>
  <si>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</si>
  <si>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</si>
  <si>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</si>
  <si>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</si>
  <si>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</si>
  <si>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</si>
  <si>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</si>
  <si>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</si>
  <si>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</si>
  <si>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</si>
  <si>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</si>
  <si>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</si>
  <si>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</si>
  <si>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</si>
  <si>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</si>
  <si>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</si>
  <si>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</si>
  <si>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</si>
  <si>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</si>
  <si>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</si>
  <si>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</si>
  <si>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</si>
  <si>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</si>
  <si>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</si>
  <si>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</si>
  <si>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</si>
  <si>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</si>
  <si>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</si>
  <si>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</si>
  <si>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</si>
  <si>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</si>
  <si>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</si>
  <si>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</si>
  <si>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</si>
  <si>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</si>
  <si>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</si>
  <si>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</si>
  <si>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</si>
  <si>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</si>
  <si>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</si>
  <si>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</si>
  <si>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</si>
  <si>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</si>
  <si>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</si>
  <si>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</si>
  <si>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</si>
  <si>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</si>
  <si>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</si>
  <si>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</si>
  <si>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</si>
  <si>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</si>
  <si>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</si>
  <si>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</si>
  <si>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</si>
  <si>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</si>
  <si>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</si>
  <si>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</si>
  <si>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</si>
  <si>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</si>
  <si>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</si>
  <si>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</si>
  <si>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</si>
  <si>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</si>
  <si>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</si>
  <si>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</si>
  <si>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</si>
  <si>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</si>
  <si>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</si>
  <si>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</si>
  <si>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</si>
  <si>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</si>
  <si>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</si>
  <si>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</si>
  <si>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</si>
  <si>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</si>
  <si>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</si>
  <si>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</si>
  <si>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</si>
  <si>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</si>
  <si>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</si>
  <si>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</si>
  <si>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</si>
  <si>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</si>
  <si>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</si>
  <si>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</si>
  <si>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</si>
  <si>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</si>
  <si>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</si>
  <si>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</si>
  <si>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</si>
  <si>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</si>
  <si>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</si>
  <si>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</si>
  <si>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</si>
  <si>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</si>
  <si>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</si>
  <si>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</si>
  <si>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</si>
  <si>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</si>
  <si>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</si>
  <si>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</si>
  <si>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</si>
  <si>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</si>
  <si>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</si>
  <si>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</si>
  <si>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</si>
  <si>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</si>
  <si>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</si>
  <si>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</si>
  <si>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</si>
  <si>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</si>
  <si>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</si>
  <si>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</si>
  <si>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</si>
  <si>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</si>
  <si>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</si>
  <si>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</si>
  <si>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</si>
  <si>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</si>
  <si>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</si>
  <si>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</si>
  <si>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</si>
  <si>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</si>
  <si>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</si>
  <si>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</si>
  <si>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</si>
  <si>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</si>
  <si>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</si>
  <si>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</si>
  <si>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</si>
  <si>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</si>
  <si>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</si>
  <si>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</si>
  <si>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</si>
  <si>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</si>
  <si>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</si>
  <si>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</si>
  <si>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</si>
  <si>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</si>
  <si>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</si>
  <si>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</si>
  <si>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</si>
  <si>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</si>
  <si>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</si>
  <si>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</si>
  <si>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</si>
  <si>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</si>
  <si>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</si>
  <si>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</si>
  <si>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</si>
  <si>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</si>
  <si>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</si>
  <si>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</si>
  <si>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</si>
  <si>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</si>
  <si>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</si>
  <si>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</si>
  <si>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</si>
  <si>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</si>
  <si>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</si>
  <si>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</si>
  <si>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</si>
  <si>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</si>
  <si>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</si>
  <si>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</si>
  <si>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</si>
  <si>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</si>
  <si>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</si>
  <si>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</si>
  <si>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</si>
  <si>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</si>
  <si>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</si>
  <si>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</si>
  <si>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</si>
  <si>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</si>
  <si>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</si>
  <si>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</si>
  <si>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</si>
  <si>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</si>
  <si>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</si>
  <si>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</si>
  <si>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</si>
  <si>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</si>
  <si>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</si>
  <si>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</si>
  <si>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</si>
  <si>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</si>
  <si>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</si>
  <si>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</si>
  <si>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</si>
  <si>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</si>
  <si>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</si>
  <si>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</si>
  <si>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</si>
  <si>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</si>
  <si>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</si>
  <si>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</si>
  <si>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</si>
  <si>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</si>
  <si>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</si>
  <si>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</si>
  <si>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</si>
  <si>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</si>
  <si>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</si>
  <si>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</si>
  <si>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</si>
  <si>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</si>
  <si>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</si>
  <si>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</si>
  <si>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</si>
  <si>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</si>
  <si>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</si>
  <si>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</si>
  <si>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</si>
  <si>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</si>
  <si>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</si>
  <si>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</si>
  <si>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</si>
  <si>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</si>
  <si>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</si>
  <si>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</si>
  <si>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</si>
  <si>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</si>
  <si>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</si>
  <si>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</si>
  <si>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</si>
  <si>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</si>
  <si>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</si>
  <si>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</si>
  <si>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</si>
  <si>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</si>
  <si>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</si>
  <si>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</si>
  <si>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</si>
  <si>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</si>
  <si>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</si>
  <si>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</si>
  <si>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</si>
  <si>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</si>
  <si>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</si>
  <si>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</si>
  <si>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</si>
  <si>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</si>
  <si>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</si>
  <si>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</si>
  <si>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</si>
  <si>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</si>
  <si>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</si>
  <si>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</si>
  <si>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</si>
  <si>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</si>
  <si>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</si>
  <si>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</si>
  <si>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</si>
  <si>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</si>
  <si>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</si>
  <si>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</si>
  <si>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</si>
  <si>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</si>
  <si>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</si>
  <si>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</si>
  <si>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</si>
  <si>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</si>
  <si>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</si>
  <si>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</si>
  <si>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</si>
  <si>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</si>
  <si>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</si>
  <si>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</si>
  <si>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</si>
  <si>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</si>
  <si>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</si>
  <si>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</si>
  <si>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</si>
  <si>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</si>
  <si>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</si>
  <si>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</si>
  <si>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</si>
  <si>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</si>
  <si>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</si>
  <si>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</si>
  <si>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</si>
  <si>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</si>
  <si>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</si>
  <si>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</si>
  <si>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</si>
  <si>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</si>
  <si>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</si>
  <si>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</si>
  <si>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</si>
  <si>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</si>
  <si>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</si>
  <si>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</si>
  <si>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</si>
  <si>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</si>
  <si>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</si>
  <si>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</si>
  <si>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</si>
  <si>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</si>
  <si>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</si>
  <si>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</si>
  <si>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</si>
  <si>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</si>
  <si>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</si>
  <si>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</si>
  <si>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</si>
  <si>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</si>
  <si>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</si>
  <si>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</si>
  <si>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</si>
  <si>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</si>
  <si>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</si>
  <si>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</si>
  <si>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</si>
  <si>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</si>
  <si>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</si>
  <si>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</si>
  <si>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</si>
  <si>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</si>
  <si>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</si>
  <si>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</si>
  <si>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</si>
  <si>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</si>
  <si>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</si>
  <si>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</si>
  <si>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</si>
  <si>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</si>
  <si>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</si>
  <si>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</si>
  <si>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</si>
  <si>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</si>
  <si>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</si>
  <si>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</si>
  <si>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</si>
  <si>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</si>
  <si>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</si>
  <si>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</si>
  <si>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</si>
  <si>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</si>
  <si>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</si>
  <si>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</si>
  <si>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</si>
  <si>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</si>
  <si>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</si>
  <si>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</si>
  <si>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</si>
  <si>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</si>
  <si>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</si>
  <si>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</si>
  <si>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</si>
  <si>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</si>
  <si>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</si>
  <si>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</si>
  <si>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</si>
  <si>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</si>
  <si>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</si>
  <si>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</si>
  <si>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</si>
  <si>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</si>
  <si>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</si>
  <si>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</si>
  <si>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31407797858</t>
  </si>
  <si>
    <t>03136906</t>
  </si>
  <si>
    <t>070000553</t>
  </si>
  <si>
    <t>IVKOM DD</t>
  </si>
  <si>
    <t>IVANEC</t>
  </si>
  <si>
    <t>V. Nazora 96 B</t>
  </si>
  <si>
    <t>ivkom@ivkom.hr</t>
  </si>
  <si>
    <t>www.ivkom.hr</t>
  </si>
  <si>
    <t>042/770-550</t>
  </si>
  <si>
    <t>Brankica Kušen</t>
  </si>
  <si>
    <t>042770573</t>
  </si>
  <si>
    <t>brankica@ivkom.hr</t>
  </si>
  <si>
    <t>41748200389</t>
  </si>
  <si>
    <t>Rajh Edo</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</si>
</sst>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 fillId="0" borderId="23" xfId="0" applyFont="1" applyFill="1" applyBorder="1" applyAlignment="1" applyProtection="1">
      <alignment horizontal="left" vertical="center" wrapText="1"/>
      <protection hidden="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960827.8</v>
      </c>
      <c r="I3" s="31">
        <f>ABS(ROUND(J3,0)-J3)+ABS(ROUND(K3,0)-K3)</f>
        <v>0</v>
      </c>
      <c r="J3" s="31">
        <f>Bilanca!I10</f>
        <v>16330728</v>
      </c>
      <c r="K3" s="31">
        <f>Bilanca!J10</f>
        <v>15855331</v>
      </c>
    </row>
    <row r="4" spans="1:11" ht="12.75">
      <c r="A4" s="4" t="s">
        <v>1088</v>
      </c>
      <c r="B4" s="29" t="s">
        <v>1888</v>
      </c>
      <c r="D4" s="4" t="s">
        <v>1521</v>
      </c>
      <c r="E4" s="4">
        <v>1</v>
      </c>
      <c r="F4" s="4">
        <f>Bilanca!G11</f>
        <v>3</v>
      </c>
      <c r="G4" s="4">
        <f>IF(Bilanca!H11=0,"",Bilanca!H11)</f>
      </c>
      <c r="H4" s="30">
        <f>J4/100*F4+2*K4/100*F4</f>
        <v>58626.9</v>
      </c>
      <c r="I4" s="31">
        <f>ABS(ROUND(J4,0)-J4)+ABS(ROUND(K4,0)-K4)</f>
        <v>0</v>
      </c>
      <c r="J4" s="31">
        <f>Bilanca!I11</f>
        <v>648270</v>
      </c>
      <c r="K4" s="31">
        <f>Bilanca!J11</f>
        <v>652980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03136906</v>
      </c>
      <c r="D6" s="4" t="s">
        <v>1521</v>
      </c>
      <c r="E6" s="4">
        <v>1</v>
      </c>
      <c r="F6" s="4">
        <f>Bilanca!G13</f>
        <v>5</v>
      </c>
      <c r="G6" s="4">
        <f>IF(Bilanca!H13=0,"",Bilanca!H13)</f>
      </c>
      <c r="H6" s="30">
        <f aca="true" t="shared" si="0" ref="H6:H45">J6/100*F6+2*K6/100*F6</f>
        <v>3257.65</v>
      </c>
      <c r="I6" s="31">
        <f aca="true" t="shared" si="1" ref="I6:I45">ABS(ROUND(J6,0)-J6)+ABS(ROUND(K6,0)-K6)</f>
        <v>0</v>
      </c>
      <c r="J6" s="31">
        <f>Bilanca!I13</f>
        <v>53913</v>
      </c>
      <c r="K6" s="31">
        <f>Bilanca!J13</f>
        <v>5620</v>
      </c>
    </row>
    <row r="7" spans="1:11" ht="12.75">
      <c r="A7" s="4" t="s">
        <v>2353</v>
      </c>
      <c r="B7" s="29" t="str">
        <f>RefStr!M27</f>
        <v>070000553</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31407797858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 DD</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170016.93</v>
      </c>
      <c r="I10" s="31">
        <f t="shared" si="1"/>
        <v>0</v>
      </c>
      <c r="J10" s="31">
        <f>Bilanca!I17</f>
        <v>594357</v>
      </c>
      <c r="K10" s="31">
        <f>Bilanca!J17</f>
        <v>647360</v>
      </c>
    </row>
    <row r="11" spans="1:11" ht="12.75">
      <c r="A11" s="4" t="s">
        <v>2356</v>
      </c>
      <c r="B11" s="29" t="str">
        <f>TRIM(RefStr!F31)</f>
        <v>IVANEC</v>
      </c>
      <c r="D11" s="4" t="s">
        <v>1521</v>
      </c>
      <c r="E11" s="4">
        <v>1</v>
      </c>
      <c r="F11" s="4">
        <f>Bilanca!G18</f>
        <v>10</v>
      </c>
      <c r="G11" s="4">
        <f>IF(Bilanca!H18=0,"",Bilanca!H18)</f>
      </c>
      <c r="H11" s="30">
        <f t="shared" si="0"/>
        <v>3921153.2</v>
      </c>
      <c r="I11" s="31">
        <f t="shared" si="1"/>
        <v>0</v>
      </c>
      <c r="J11" s="31">
        <f>Bilanca!I18</f>
        <v>13390582</v>
      </c>
      <c r="K11" s="31">
        <f>Bilanca!J18</f>
        <v>12910475</v>
      </c>
    </row>
    <row r="12" spans="1:11" ht="12.75">
      <c r="A12" s="4" t="s">
        <v>2357</v>
      </c>
      <c r="B12" s="29" t="str">
        <f>TRIM(RefStr!C33)</f>
        <v>V. Nazora 96 B</v>
      </c>
      <c r="D12" s="4" t="s">
        <v>1521</v>
      </c>
      <c r="E12" s="4">
        <v>1</v>
      </c>
      <c r="F12" s="4">
        <f>Bilanca!G19</f>
        <v>11</v>
      </c>
      <c r="G12" s="4">
        <f>IF(Bilanca!H19=0,"",Bilanca!H19)</f>
      </c>
      <c r="H12" s="30">
        <f t="shared" si="0"/>
        <v>5848.26</v>
      </c>
      <c r="I12" s="31">
        <f t="shared" si="1"/>
        <v>0</v>
      </c>
      <c r="J12" s="31">
        <f>Bilanca!I19</f>
        <v>17722</v>
      </c>
      <c r="K12" s="31">
        <f>Bilanca!J19</f>
        <v>17722</v>
      </c>
    </row>
    <row r="13" spans="1:11" ht="12.75">
      <c r="A13" s="4" t="s">
        <v>1193</v>
      </c>
      <c r="B13" s="29" t="str">
        <f>TRIM(RefStr!C35)</f>
        <v>ivkom@ivkom.hr</v>
      </c>
      <c r="D13" s="4" t="s">
        <v>1521</v>
      </c>
      <c r="E13" s="4">
        <v>1</v>
      </c>
      <c r="F13" s="4">
        <f>Bilanca!G20</f>
        <v>12</v>
      </c>
      <c r="G13" s="4">
        <f>IF(Bilanca!H20=0,"",Bilanca!H20)</f>
      </c>
      <c r="H13" s="30">
        <f t="shared" si="0"/>
        <v>3740711.52</v>
      </c>
      <c r="I13" s="31">
        <f t="shared" si="1"/>
        <v>0</v>
      </c>
      <c r="J13" s="31">
        <f>Bilanca!I20</f>
        <v>11132630</v>
      </c>
      <c r="K13" s="31">
        <f>Bilanca!J20</f>
        <v>10019983</v>
      </c>
    </row>
    <row r="14" spans="1:11" ht="12.75">
      <c r="A14" s="4" t="s">
        <v>1194</v>
      </c>
      <c r="B14" s="29" t="str">
        <f>TRIM(RefStr!C37)</f>
        <v>www.ivkom.hr</v>
      </c>
      <c r="D14" s="4" t="s">
        <v>1521</v>
      </c>
      <c r="E14" s="4">
        <v>1</v>
      </c>
      <c r="F14" s="4">
        <f>Bilanca!G21</f>
        <v>13</v>
      </c>
      <c r="G14" s="4">
        <f>IF(Bilanca!H21=0,"",Bilanca!H21)</f>
      </c>
      <c r="H14" s="30">
        <f t="shared" si="0"/>
        <v>183676.09000000003</v>
      </c>
      <c r="I14" s="31">
        <f t="shared" si="1"/>
        <v>0</v>
      </c>
      <c r="J14" s="31">
        <f>Bilanca!I21</f>
        <v>553917</v>
      </c>
      <c r="K14" s="31">
        <f>Bilanca!J21</f>
        <v>429488</v>
      </c>
    </row>
    <row r="15" spans="1:11" ht="12.75">
      <c r="A15" s="4" t="s">
        <v>2360</v>
      </c>
      <c r="B15" s="29" t="str">
        <f>TEXT(RefStr!J39,"00")</f>
        <v>05</v>
      </c>
      <c r="D15" s="4" t="s">
        <v>1521</v>
      </c>
      <c r="E15" s="4">
        <v>1</v>
      </c>
      <c r="F15" s="4">
        <f>Bilanca!G22</f>
        <v>14</v>
      </c>
      <c r="G15" s="4">
        <f>IF(Bilanca!H22=0,"",Bilanca!H22)</f>
      </c>
      <c r="H15" s="30">
        <f t="shared" si="0"/>
        <v>545743.8</v>
      </c>
      <c r="I15" s="31">
        <f t="shared" si="1"/>
        <v>0</v>
      </c>
      <c r="J15" s="31">
        <f>Bilanca!I22</f>
        <v>887262</v>
      </c>
      <c r="K15" s="31">
        <f>Bilanca!J22</f>
        <v>1505454</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3811</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454700.19000000006</v>
      </c>
      <c r="I18" s="31">
        <f t="shared" si="1"/>
        <v>0</v>
      </c>
      <c r="J18" s="31">
        <f>Bilanca!I25</f>
        <v>799051</v>
      </c>
      <c r="K18" s="31">
        <f>Bilanca!J25</f>
        <v>937828</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1375125.5999999999</v>
      </c>
      <c r="I21" s="31">
        <f t="shared" si="1"/>
        <v>0</v>
      </c>
      <c r="J21" s="31">
        <f>Bilanca!I28</f>
        <v>2291876</v>
      </c>
      <c r="K21" s="31">
        <f>Bilanca!J28</f>
        <v>2291876</v>
      </c>
    </row>
    <row r="22" spans="1:11" ht="12.75">
      <c r="A22" s="4" t="s">
        <v>1199</v>
      </c>
      <c r="B22" s="29">
        <f>RefStr!C52</f>
        <v>11</v>
      </c>
      <c r="D22" s="4" t="s">
        <v>1521</v>
      </c>
      <c r="E22" s="4">
        <v>1</v>
      </c>
      <c r="F22" s="4">
        <f>Bilanca!G29</f>
        <v>21</v>
      </c>
      <c r="G22" s="4">
        <f>IF(Bilanca!H29=0,"",Bilanca!H29)</f>
      </c>
      <c r="H22" s="30">
        <f t="shared" si="0"/>
        <v>1443881.88</v>
      </c>
      <c r="I22" s="31">
        <f t="shared" si="1"/>
        <v>0</v>
      </c>
      <c r="J22" s="31">
        <f>Bilanca!I29</f>
        <v>2291876</v>
      </c>
      <c r="K22" s="31">
        <f>Bilanca!J29</f>
        <v>2291876</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78</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83</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69</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73</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10975575.66</v>
      </c>
      <c r="I38" s="31">
        <f t="shared" si="1"/>
        <v>0</v>
      </c>
      <c r="J38" s="31">
        <f>Bilanca!I45</f>
        <v>9031734</v>
      </c>
      <c r="K38" s="31">
        <f>Bilanca!J45</f>
        <v>10315992</v>
      </c>
    </row>
    <row r="39" spans="1:11" ht="12.75">
      <c r="A39" s="4" t="s">
        <v>1216</v>
      </c>
      <c r="B39" s="29" t="str">
        <f>RefStr!C68</f>
        <v>Brankica Kušen</v>
      </c>
      <c r="D39" s="4" t="s">
        <v>1521</v>
      </c>
      <c r="E39" s="4">
        <v>1</v>
      </c>
      <c r="F39" s="4">
        <f>Bilanca!G46</f>
        <v>38</v>
      </c>
      <c r="G39" s="4">
        <f>IF(Bilanca!H46=0,"",Bilanca!H46)</f>
      </c>
      <c r="H39" s="30">
        <f t="shared" si="0"/>
        <v>503598.04000000004</v>
      </c>
      <c r="I39" s="31">
        <f t="shared" si="1"/>
        <v>0</v>
      </c>
      <c r="J39" s="31">
        <f>Bilanca!I46</f>
        <v>452346</v>
      </c>
      <c r="K39" s="31">
        <f>Bilanca!J46</f>
        <v>436456</v>
      </c>
    </row>
    <row r="40" spans="1:11" ht="12.75">
      <c r="A40" s="4" t="s">
        <v>1217</v>
      </c>
      <c r="B40" s="29" t="str">
        <f>TRIM(RefStr!C70)</f>
        <v>042770573</v>
      </c>
      <c r="D40" s="4" t="s">
        <v>1521</v>
      </c>
      <c r="E40" s="4">
        <v>1</v>
      </c>
      <c r="F40" s="4">
        <f>Bilanca!G47</f>
        <v>39</v>
      </c>
      <c r="G40" s="4">
        <f>IF(Bilanca!H47=0,"",Bilanca!H47)</f>
      </c>
      <c r="H40" s="30">
        <f t="shared" si="0"/>
        <v>389713.35000000003</v>
      </c>
      <c r="I40" s="31">
        <f t="shared" si="1"/>
        <v>0</v>
      </c>
      <c r="J40" s="31">
        <f>Bilanca!I47</f>
        <v>348901</v>
      </c>
      <c r="K40" s="31">
        <f>Bilanca!J47</f>
        <v>325182</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brankica@ivkom.hr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Rajh Edo</v>
      </c>
      <c r="D43" s="4" t="s">
        <v>1521</v>
      </c>
      <c r="E43" s="4">
        <v>1</v>
      </c>
      <c r="F43" s="4">
        <f>Bilanca!G50</f>
        <v>42</v>
      </c>
      <c r="G43" s="4">
        <f>IF(Bilanca!H50=0,"",Bilanca!H50)</f>
      </c>
      <c r="H43" s="30">
        <f t="shared" si="0"/>
        <v>136917.06</v>
      </c>
      <c r="I43" s="31">
        <f t="shared" si="1"/>
        <v>0</v>
      </c>
      <c r="J43" s="31">
        <f>Bilanca!I50</f>
        <v>103445</v>
      </c>
      <c r="K43" s="31">
        <f>Bilanca!J50</f>
        <v>111274</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4310094.66</v>
      </c>
      <c r="I47" s="31">
        <f t="shared" si="3"/>
        <v>0</v>
      </c>
      <c r="J47" s="31">
        <f>Bilanca!I54</f>
        <v>2127391</v>
      </c>
      <c r="K47" s="31">
        <f>Bilanca!J54</f>
        <v>3621190</v>
      </c>
    </row>
    <row r="48" spans="1:11" ht="12.75">
      <c r="A48" s="4" t="s">
        <v>1918</v>
      </c>
      <c r="B48" s="29" t="str">
        <f>RefStr!I54</f>
        <v>NE</v>
      </c>
      <c r="D48" s="4" t="s">
        <v>1521</v>
      </c>
      <c r="E48" s="4">
        <v>1</v>
      </c>
      <c r="F48" s="4">
        <f>Bilanca!G55</f>
        <v>47</v>
      </c>
      <c r="G48" s="4">
        <f>IF(Bilanca!H55=0,"",Bilanca!H55)</f>
      </c>
      <c r="H48" s="30">
        <f t="shared" si="2"/>
        <v>120640.07</v>
      </c>
      <c r="I48" s="31">
        <f t="shared" si="3"/>
        <v>0</v>
      </c>
      <c r="J48" s="31">
        <f>Bilanca!I55</f>
        <v>66357</v>
      </c>
      <c r="K48" s="31">
        <f>Bilanca!J55</f>
        <v>95162</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4420486.98</v>
      </c>
      <c r="I50" s="31">
        <f t="shared" si="3"/>
        <v>0</v>
      </c>
      <c r="J50" s="31">
        <f>Bilanca!I57</f>
        <v>2029556</v>
      </c>
      <c r="K50" s="31">
        <f>Bilanca!J57</f>
        <v>3495923</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35851.98</v>
      </c>
      <c r="I52" s="31">
        <f t="shared" si="3"/>
        <v>0</v>
      </c>
      <c r="J52" s="31">
        <f>Bilanca!I59</f>
        <v>30088</v>
      </c>
      <c r="K52" s="31">
        <f>Bilanca!J59</f>
        <v>20105</v>
      </c>
    </row>
    <row r="53" spans="1:11" ht="12.75">
      <c r="A53" s="4" t="s">
        <v>532</v>
      </c>
      <c r="B53" s="29" t="str">
        <f>RefStr!I56</f>
        <v>DA</v>
      </c>
      <c r="D53" s="4" t="s">
        <v>1521</v>
      </c>
      <c r="E53" s="4">
        <v>1</v>
      </c>
      <c r="F53" s="4">
        <f>Bilanca!G60</f>
        <v>52</v>
      </c>
      <c r="G53" s="4">
        <f>IF(Bilanca!H60=0,"",Bilanca!H60)</f>
      </c>
      <c r="H53" s="30">
        <f t="shared" si="2"/>
        <v>11122.8</v>
      </c>
      <c r="I53" s="31">
        <f t="shared" si="3"/>
        <v>0</v>
      </c>
      <c r="J53" s="31">
        <f>Bilanca!I60</f>
        <v>1390</v>
      </c>
      <c r="K53" s="31">
        <f>Bilanca!J60</f>
        <v>10000</v>
      </c>
    </row>
    <row r="54" spans="1:11" ht="12.75">
      <c r="A54" s="4" t="s">
        <v>533</v>
      </c>
      <c r="B54" s="29" t="str">
        <f>RefStr!I62</f>
        <v>DA</v>
      </c>
      <c r="D54" s="4" t="s">
        <v>1521</v>
      </c>
      <c r="E54" s="4">
        <v>1</v>
      </c>
      <c r="F54" s="4">
        <f>Bilanca!G61</f>
        <v>53</v>
      </c>
      <c r="G54" s="4">
        <f>IF(Bilanca!H61=0,"",Bilanca!H61)</f>
      </c>
      <c r="H54" s="30">
        <f t="shared" si="2"/>
        <v>664926.3400000001</v>
      </c>
      <c r="I54" s="31">
        <f t="shared" si="3"/>
        <v>0</v>
      </c>
      <c r="J54" s="31">
        <f>Bilanca!I61</f>
        <v>0</v>
      </c>
      <c r="K54" s="31">
        <f>Bilanca!J61</f>
        <v>627289</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1692523214.8000002</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765292.5800000001</v>
      </c>
      <c r="I62" s="31">
        <f t="shared" si="3"/>
        <v>0</v>
      </c>
      <c r="J62" s="31">
        <f>Bilanca!I69</f>
        <v>0</v>
      </c>
      <c r="K62" s="31">
        <f>Bilanca!J69</f>
        <v>627289</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11159889.93</v>
      </c>
      <c r="I64" s="31">
        <f t="shared" si="3"/>
        <v>0</v>
      </c>
      <c r="J64" s="31">
        <f>Bilanca!I71</f>
        <v>6451997</v>
      </c>
      <c r="K64" s="31">
        <f>Bilanca!J71</f>
        <v>5631057</v>
      </c>
    </row>
    <row r="65" spans="1:11" ht="12.75">
      <c r="A65" s="4" t="s">
        <v>687</v>
      </c>
      <c r="B65" s="29" t="str">
        <f>RefStr!N19</f>
        <v>HSFI</v>
      </c>
      <c r="D65" s="4" t="s">
        <v>1521</v>
      </c>
      <c r="E65" s="4">
        <v>1</v>
      </c>
      <c r="F65" s="4">
        <f>Bilanca!G72</f>
        <v>64</v>
      </c>
      <c r="G65" s="4">
        <f>IF(Bilanca!H72=0,"",Bilanca!H72)</f>
      </c>
      <c r="H65" s="30">
        <f t="shared" si="2"/>
        <v>56366.08</v>
      </c>
      <c r="I65" s="31">
        <f t="shared" si="3"/>
        <v>0</v>
      </c>
      <c r="J65" s="31">
        <f>Bilanca!I72</f>
        <v>24440</v>
      </c>
      <c r="K65" s="31">
        <f>Bilanca!J72</f>
        <v>31816</v>
      </c>
    </row>
    <row r="66" spans="1:11" ht="12.75">
      <c r="A66" s="4" t="s">
        <v>688</v>
      </c>
      <c r="B66" s="29">
        <f>RefStr!C23</f>
        <v>1</v>
      </c>
      <c r="D66" s="4" t="s">
        <v>1521</v>
      </c>
      <c r="E66" s="4">
        <v>1</v>
      </c>
      <c r="F66" s="4">
        <f>Bilanca!G73</f>
        <v>65</v>
      </c>
      <c r="G66" s="4">
        <f>IF(Bilanca!H73=0,"",Bilanca!H73)</f>
      </c>
      <c r="H66" s="30">
        <f t="shared" si="2"/>
        <v>50565567</v>
      </c>
      <c r="I66" s="31">
        <f t="shared" si="3"/>
        <v>0</v>
      </c>
      <c r="J66" s="31">
        <f>Bilanca!I73</f>
        <v>25386902</v>
      </c>
      <c r="K66" s="31">
        <f>Bilanca!J73</f>
        <v>26203139</v>
      </c>
    </row>
    <row r="67" spans="1:11" ht="12.75">
      <c r="A67" s="4" t="s">
        <v>689</v>
      </c>
      <c r="B67" s="29" t="str">
        <f>RefStr!L35</f>
        <v>042/770-550</v>
      </c>
      <c r="D67" s="4" t="s">
        <v>1521</v>
      </c>
      <c r="E67" s="4">
        <v>1</v>
      </c>
      <c r="F67" s="4">
        <f>Bilanca!G74</f>
        <v>66</v>
      </c>
      <c r="G67" s="4">
        <f>IF(Bilanca!H74=0,"",Bilanca!H74)</f>
      </c>
      <c r="H67" s="30">
        <f t="shared" si="2"/>
        <v>51343498.800000004</v>
      </c>
      <c r="I67" s="31">
        <f t="shared" si="3"/>
        <v>0</v>
      </c>
      <c r="J67" s="31">
        <f>Bilanca!I74</f>
        <v>25386902</v>
      </c>
      <c r="K67" s="31">
        <f>Bilanca!J74</f>
        <v>26203139</v>
      </c>
    </row>
    <row r="68" spans="1:11" ht="12.75">
      <c r="A68" s="4" t="s">
        <v>690</v>
      </c>
      <c r="B68" s="29">
        <f>RefStr!C44</f>
        <v>7</v>
      </c>
      <c r="D68" s="4" t="s">
        <v>1521</v>
      </c>
      <c r="E68" s="4">
        <v>1</v>
      </c>
      <c r="F68" s="4">
        <f>Bilanca!G76</f>
        <v>67</v>
      </c>
      <c r="G68" s="4">
        <f>IF(Bilanca!H76=0,"",Bilanca!H76)</f>
      </c>
      <c r="H68" s="30">
        <f t="shared" si="2"/>
        <v>28617204.15</v>
      </c>
      <c r="I68" s="31">
        <f t="shared" si="3"/>
        <v>0</v>
      </c>
      <c r="J68" s="31">
        <f>Bilanca!I76</f>
        <v>14176721</v>
      </c>
      <c r="K68" s="31">
        <f>Bilanca!J76</f>
        <v>14267762</v>
      </c>
    </row>
    <row r="69" spans="1:11" ht="12.75">
      <c r="A69" s="4" t="s">
        <v>691</v>
      </c>
      <c r="B69" s="29">
        <f>RefStr!M46</f>
        <v>0</v>
      </c>
      <c r="D69" s="4" t="s">
        <v>1521</v>
      </c>
      <c r="E69" s="4">
        <v>1</v>
      </c>
      <c r="F69" s="4">
        <f>Bilanca!G77</f>
        <v>68</v>
      </c>
      <c r="G69" s="4">
        <f>IF(Bilanca!H77=0,"",Bilanca!H77)</f>
      </c>
      <c r="H69" s="30">
        <f t="shared" si="2"/>
        <v>21446132.400000002</v>
      </c>
      <c r="I69" s="31">
        <f t="shared" si="3"/>
        <v>0</v>
      </c>
      <c r="J69" s="31">
        <f>Bilanca!I77</f>
        <v>10512810</v>
      </c>
      <c r="K69" s="31">
        <f>Bilanca!J77</f>
        <v>10512810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6207505.5</v>
      </c>
      <c r="I71" s="31">
        <f t="shared" si="3"/>
        <v>0</v>
      </c>
      <c r="J71" s="31">
        <f>Bilanca!I79</f>
        <v>2955955</v>
      </c>
      <c r="K71" s="31">
        <f>Bilanca!J79</f>
        <v>2955955</v>
      </c>
    </row>
    <row r="72" spans="4:11" ht="12.75">
      <c r="D72" s="4" t="s">
        <v>1521</v>
      </c>
      <c r="E72" s="4">
        <v>1</v>
      </c>
      <c r="F72" s="4">
        <f>Bilanca!G80</f>
        <v>71</v>
      </c>
      <c r="G72" s="4">
        <f>IF(Bilanca!H80=0,"",Bilanca!H80)</f>
      </c>
      <c r="H72" s="30">
        <f t="shared" si="2"/>
        <v>127290.93</v>
      </c>
      <c r="I72" s="31">
        <f t="shared" si="3"/>
        <v>0</v>
      </c>
      <c r="J72" s="31">
        <f>Bilanca!I80</f>
        <v>59761</v>
      </c>
      <c r="K72" s="31">
        <f>Bilanca!J80</f>
        <v>59761</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6516436.5</v>
      </c>
      <c r="I76" s="31">
        <f t="shared" si="3"/>
        <v>0</v>
      </c>
      <c r="J76" s="31">
        <f>Bilanca!I84</f>
        <v>2896194</v>
      </c>
      <c r="K76" s="31">
        <f>Bilanca!J84</f>
        <v>2896194</v>
      </c>
    </row>
    <row r="77" spans="4:11" ht="12.75">
      <c r="D77" s="4" t="s">
        <v>1521</v>
      </c>
      <c r="E77" s="4">
        <v>1</v>
      </c>
      <c r="F77" s="4">
        <f>Bilanca!G85</f>
        <v>76</v>
      </c>
      <c r="G77" s="4">
        <f>IF(Bilanca!H85=0,"",Bilanca!H85)</f>
      </c>
      <c r="H77" s="30">
        <f t="shared" si="2"/>
        <v>794276.76</v>
      </c>
      <c r="I77" s="31">
        <f t="shared" si="3"/>
        <v>0</v>
      </c>
      <c r="J77" s="31">
        <f>Bilanca!I85</f>
        <v>348367</v>
      </c>
      <c r="K77" s="31">
        <f>Bilanca!J85</f>
        <v>348367</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811333.2599999999</v>
      </c>
      <c r="I82" s="31">
        <f t="shared" si="3"/>
        <v>0</v>
      </c>
      <c r="J82" s="31">
        <f>Bilanca!I90</f>
        <v>282468</v>
      </c>
      <c r="K82" s="31">
        <f>Bilanca!J90</f>
        <v>359589</v>
      </c>
    </row>
    <row r="83" spans="4:11" ht="12.75">
      <c r="D83" s="4" t="s">
        <v>1521</v>
      </c>
      <c r="E83" s="4">
        <v>1</v>
      </c>
      <c r="F83" s="4">
        <f>Bilanca!G91</f>
        <v>82</v>
      </c>
      <c r="G83" s="4">
        <f>IF(Bilanca!H91=0,"",Bilanca!H91)</f>
      </c>
      <c r="H83" s="30">
        <f t="shared" si="2"/>
        <v>821349.72</v>
      </c>
      <c r="I83" s="31">
        <f t="shared" si="3"/>
        <v>0</v>
      </c>
      <c r="J83" s="31">
        <f>Bilanca!I91</f>
        <v>282468</v>
      </c>
      <c r="K83" s="31">
        <f>Bilanca!J91</f>
        <v>359589</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217730.52000000002</v>
      </c>
      <c r="I85" s="31">
        <f>ABS(ROUND(J85,0)-J85)+ABS(ROUND(K85,0)-K85)</f>
        <v>0</v>
      </c>
      <c r="J85" s="31">
        <f>Bilanca!I93</f>
        <v>77121</v>
      </c>
      <c r="K85" s="31">
        <f>Bilanca!J93</f>
        <v>91041</v>
      </c>
    </row>
    <row r="86" spans="4:11" ht="12.75">
      <c r="D86" s="4" t="s">
        <v>1521</v>
      </c>
      <c r="E86" s="4">
        <v>1</v>
      </c>
      <c r="F86" s="4">
        <f>Bilanca!G94</f>
        <v>85</v>
      </c>
      <c r="G86" s="4">
        <f>IF(Bilanca!H94=0,"",Bilanca!H94)</f>
      </c>
      <c r="H86" s="30">
        <f>J86/100*F86+2*K86/100*F86</f>
        <v>220322.55</v>
      </c>
      <c r="I86" s="31">
        <f>ABS(ROUND(J86,0)-J86)+ABS(ROUND(K86,0)-K86)</f>
        <v>0</v>
      </c>
      <c r="J86" s="31">
        <f>Bilanca!I94</f>
        <v>77121</v>
      </c>
      <c r="K86" s="31">
        <f>Bilanca!J94</f>
        <v>91041</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1322782.56</v>
      </c>
      <c r="I89" s="31">
        <f t="shared" si="5"/>
        <v>0</v>
      </c>
      <c r="J89" s="31">
        <f>Bilanca!I97</f>
        <v>0</v>
      </c>
      <c r="K89" s="31">
        <f>Bilanca!J97</f>
        <v>751581</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1412972.28</v>
      </c>
      <c r="I95" s="31">
        <f t="shared" si="5"/>
        <v>0</v>
      </c>
      <c r="J95" s="31">
        <f>Bilanca!I103</f>
        <v>0</v>
      </c>
      <c r="K95" s="31">
        <f>Bilanca!J103</f>
        <v>751581</v>
      </c>
    </row>
    <row r="96" spans="4:11" ht="12.75">
      <c r="D96" s="4" t="s">
        <v>1521</v>
      </c>
      <c r="E96" s="4">
        <v>1</v>
      </c>
      <c r="F96" s="4">
        <f>Bilanca!G104</f>
        <v>95</v>
      </c>
      <c r="G96" s="4">
        <f>IF(Bilanca!H104=0,"",Bilanca!H104)</f>
      </c>
      <c r="H96" s="30">
        <f t="shared" si="4"/>
        <v>698707.9</v>
      </c>
      <c r="I96" s="31">
        <f t="shared" si="5"/>
        <v>0</v>
      </c>
      <c r="J96" s="31">
        <f>Bilanca!I104</f>
        <v>0</v>
      </c>
      <c r="K96" s="31">
        <f>Bilanca!J104</f>
        <v>367741</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742836.82</v>
      </c>
      <c r="I102" s="31">
        <f t="shared" si="5"/>
        <v>0</v>
      </c>
      <c r="J102" s="31">
        <f>Bilanca!I110</f>
        <v>0</v>
      </c>
      <c r="K102" s="31">
        <f>Bilanca!J110</f>
        <v>367741</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6409885.29</v>
      </c>
      <c r="I108" s="31">
        <f t="shared" si="5"/>
        <v>0</v>
      </c>
      <c r="J108" s="31">
        <f>Bilanca!I116</f>
        <v>1651793</v>
      </c>
      <c r="K108" s="31">
        <f>Bilanca!J116</f>
        <v>2169377</v>
      </c>
    </row>
    <row r="109" spans="4:11" ht="12.75">
      <c r="D109" s="4" t="s">
        <v>1521</v>
      </c>
      <c r="E109" s="4">
        <v>1</v>
      </c>
      <c r="F109" s="4">
        <f>Bilanca!G117</f>
        <v>108</v>
      </c>
      <c r="G109" s="4">
        <f>IF(Bilanca!H117=0,"",Bilanca!H117)</f>
      </c>
      <c r="H109" s="30">
        <f t="shared" si="4"/>
        <v>26889.840000000004</v>
      </c>
      <c r="I109" s="31">
        <f t="shared" si="5"/>
        <v>0</v>
      </c>
      <c r="J109" s="31">
        <f>Bilanca!I117</f>
        <v>16094</v>
      </c>
      <c r="K109" s="31">
        <f>Bilanca!J117</f>
        <v>4402</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494621.34</v>
      </c>
      <c r="I114" s="31">
        <f t="shared" si="5"/>
        <v>0</v>
      </c>
      <c r="J114" s="31">
        <f>Bilanca!I122</f>
        <v>0</v>
      </c>
      <c r="K114" s="31">
        <f>Bilanca!J122</f>
        <v>218859</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2813082.8499999996</v>
      </c>
      <c r="I116" s="31">
        <f t="shared" si="5"/>
        <v>0</v>
      </c>
      <c r="J116" s="31">
        <f>Bilanca!I124</f>
        <v>743461</v>
      </c>
      <c r="K116" s="31">
        <f>Bilanca!J124</f>
        <v>851349</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1604463.12</v>
      </c>
      <c r="I118" s="31">
        <f t="shared" si="5"/>
        <v>0</v>
      </c>
      <c r="J118" s="31">
        <f>Bilanca!I126</f>
        <v>454908</v>
      </c>
      <c r="K118" s="31">
        <f>Bilanca!J126</f>
        <v>458214</v>
      </c>
    </row>
    <row r="119" spans="4:11" ht="12.75">
      <c r="D119" s="4" t="s">
        <v>1521</v>
      </c>
      <c r="E119" s="4">
        <v>1</v>
      </c>
      <c r="F119" s="4">
        <f>Bilanca!G127</f>
        <v>118</v>
      </c>
      <c r="G119" s="4">
        <f>IF(Bilanca!H127=0,"",Bilanca!H127)</f>
      </c>
      <c r="H119" s="30">
        <f t="shared" si="4"/>
        <v>1974359.48</v>
      </c>
      <c r="I119" s="31">
        <f t="shared" si="5"/>
        <v>0</v>
      </c>
      <c r="J119" s="31">
        <f>Bilanca!I127</f>
        <v>423154</v>
      </c>
      <c r="K119" s="31">
        <f>Bilanca!J127</f>
        <v>625016</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45072.5</v>
      </c>
      <c r="I122" s="31">
        <f t="shared" si="5"/>
        <v>0</v>
      </c>
      <c r="J122" s="31">
        <f>Bilanca!I130</f>
        <v>14176</v>
      </c>
      <c r="K122" s="31">
        <f>Bilanca!J130</f>
        <v>11537</v>
      </c>
    </row>
    <row r="123" spans="4:11" ht="12.75">
      <c r="D123" s="4" t="s">
        <v>1521</v>
      </c>
      <c r="E123" s="4">
        <v>1</v>
      </c>
      <c r="F123" s="4">
        <f>Bilanca!G131</f>
        <v>122</v>
      </c>
      <c r="G123" s="4">
        <f>IF(Bilanca!H131=0,"",Bilanca!H131)</f>
      </c>
      <c r="H123" s="30">
        <f t="shared" si="4"/>
        <v>32759127.68</v>
      </c>
      <c r="I123" s="31">
        <f t="shared" si="5"/>
        <v>0</v>
      </c>
      <c r="J123" s="31">
        <f>Bilanca!I131</f>
        <v>9558388</v>
      </c>
      <c r="K123" s="31">
        <f>Bilanca!J131</f>
        <v>8646678</v>
      </c>
    </row>
    <row r="124" spans="4:11" ht="12.75">
      <c r="D124" s="4" t="s">
        <v>1521</v>
      </c>
      <c r="E124" s="4">
        <v>1</v>
      </c>
      <c r="F124" s="4">
        <f>Bilanca!G132</f>
        <v>123</v>
      </c>
      <c r="G124" s="4">
        <f>IF(Bilanca!H132=0,"",Bilanca!H132)</f>
      </c>
      <c r="H124" s="30">
        <f t="shared" si="4"/>
        <v>95685611.4</v>
      </c>
      <c r="I124" s="31">
        <f t="shared" si="5"/>
        <v>0</v>
      </c>
      <c r="J124" s="31">
        <f>Bilanca!I132</f>
        <v>25386902</v>
      </c>
      <c r="K124" s="31">
        <f>Bilanca!J132</f>
        <v>26203139</v>
      </c>
    </row>
    <row r="125" spans="4:11" ht="12.75">
      <c r="D125" s="4" t="s">
        <v>1521</v>
      </c>
      <c r="E125" s="4">
        <v>1</v>
      </c>
      <c r="F125" s="4">
        <f>Bilanca!G133</f>
        <v>124</v>
      </c>
      <c r="G125" s="4">
        <f>IF(Bilanca!H133=0,"",Bilanca!H133)</f>
      </c>
      <c r="H125" s="30">
        <f t="shared" si="4"/>
        <v>96463543.2</v>
      </c>
      <c r="I125" s="31">
        <f t="shared" si="5"/>
        <v>0</v>
      </c>
      <c r="J125" s="31">
        <f>Bilanca!I133</f>
        <v>25386902</v>
      </c>
      <c r="K125" s="31">
        <f>Bilanca!J133</f>
        <v>26203139</v>
      </c>
    </row>
    <row r="126" spans="4:11" ht="12.75">
      <c r="D126" s="4" t="s">
        <v>541</v>
      </c>
      <c r="E126" s="4">
        <v>2</v>
      </c>
      <c r="F126" s="4">
        <f>RDG!G8</f>
        <v>125</v>
      </c>
      <c r="G126" s="4">
        <f>IF(RDG!H8=0,"",RDG!H8)</f>
      </c>
      <c r="H126" s="30">
        <f t="shared" si="4"/>
        <v>63678453.75</v>
      </c>
      <c r="I126" s="4">
        <f t="shared" si="5"/>
        <v>0</v>
      </c>
      <c r="J126" s="31">
        <f>RDG!I8</f>
        <v>17040935</v>
      </c>
      <c r="K126" s="31">
        <f>RDG!J8</f>
        <v>16950914</v>
      </c>
    </row>
    <row r="127" spans="4:11" ht="12.75">
      <c r="D127" s="4" t="s">
        <v>541</v>
      </c>
      <c r="E127" s="4">
        <v>2</v>
      </c>
      <c r="F127" s="4">
        <f>RDG!G9</f>
        <v>126</v>
      </c>
      <c r="G127" s="4">
        <f>IF(RDG!H9=0,"",RDG!H9)</f>
      </c>
      <c r="H127" s="30">
        <f t="shared" si="4"/>
        <v>831404.7</v>
      </c>
      <c r="I127" s="4">
        <f t="shared" si="5"/>
        <v>0</v>
      </c>
      <c r="J127" s="31">
        <f>RDG!I9</f>
        <v>214469</v>
      </c>
      <c r="K127" s="31">
        <f>RDG!J9</f>
        <v>222688</v>
      </c>
    </row>
    <row r="128" spans="4:11" ht="12.75">
      <c r="D128" s="4" t="s">
        <v>541</v>
      </c>
      <c r="E128" s="4">
        <v>2</v>
      </c>
      <c r="F128" s="4">
        <f>RDG!G10</f>
        <v>127</v>
      </c>
      <c r="G128" s="4">
        <f>IF(RDG!H10=0,"",RDG!H10)</f>
      </c>
      <c r="H128" s="30">
        <f aca="true" t="shared" si="6" ref="H128:H190">J128/100*F128+2*K128/100*F128</f>
        <v>58784044.230000004</v>
      </c>
      <c r="I128" s="4">
        <f aca="true" t="shared" si="7" ref="I128:I190">ABS(ROUND(J128,0)-J128)+ABS(ROUND(K128,0)-K128)</f>
        <v>0</v>
      </c>
      <c r="J128" s="31">
        <f>RDG!I10</f>
        <v>15235815</v>
      </c>
      <c r="K128" s="31">
        <f>RDG!J10</f>
        <v>15525417</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5195149.7</v>
      </c>
      <c r="I131" s="4">
        <f t="shared" si="7"/>
        <v>0</v>
      </c>
      <c r="J131" s="31">
        <f>RDG!I13</f>
        <v>1590651</v>
      </c>
      <c r="K131" s="31">
        <f>RDG!J13</f>
        <v>1202809</v>
      </c>
    </row>
    <row r="132" spans="4:11" ht="12.75">
      <c r="D132" s="4" t="s">
        <v>541</v>
      </c>
      <c r="E132" s="4">
        <v>2</v>
      </c>
      <c r="F132" s="4">
        <f>RDG!G14</f>
        <v>131</v>
      </c>
      <c r="G132" s="4">
        <f>IF(RDG!H14=0,"",RDG!H14)</f>
      </c>
      <c r="H132" s="30">
        <f t="shared" si="6"/>
        <v>66303248.769999996</v>
      </c>
      <c r="I132" s="4">
        <f t="shared" si="7"/>
        <v>0</v>
      </c>
      <c r="J132" s="31">
        <f>RDG!I14</f>
        <v>17032755</v>
      </c>
      <c r="K132" s="31">
        <f>RDG!J14</f>
        <v>16790206</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19623838.78</v>
      </c>
      <c r="I134" s="4">
        <f t="shared" si="7"/>
        <v>0</v>
      </c>
      <c r="J134" s="31">
        <f>RDG!I16</f>
        <v>5347268</v>
      </c>
      <c r="K134" s="31">
        <f>RDG!J16</f>
        <v>4703749</v>
      </c>
    </row>
    <row r="135" spans="4:11" ht="12.75">
      <c r="D135" s="4" t="s">
        <v>541</v>
      </c>
      <c r="E135" s="4">
        <v>2</v>
      </c>
      <c r="F135" s="4">
        <f>RDG!G17</f>
        <v>134</v>
      </c>
      <c r="G135" s="4">
        <f>IF(RDG!H17=0,"",RDG!H17)</f>
      </c>
      <c r="H135" s="30">
        <f t="shared" si="6"/>
        <v>9252153.280000001</v>
      </c>
      <c r="I135" s="4">
        <f t="shared" si="7"/>
        <v>0</v>
      </c>
      <c r="J135" s="31">
        <f>RDG!I17</f>
        <v>2102820</v>
      </c>
      <c r="K135" s="31">
        <f>RDG!J17</f>
        <v>2400886</v>
      </c>
    </row>
    <row r="136" spans="4:11" ht="12.75">
      <c r="D136" s="4" t="s">
        <v>541</v>
      </c>
      <c r="E136" s="4">
        <v>2</v>
      </c>
      <c r="F136" s="4">
        <f>RDG!G18</f>
        <v>135</v>
      </c>
      <c r="G136" s="4">
        <f>IF(RDG!H18=0,"",RDG!H18)</f>
      </c>
      <c r="H136" s="30">
        <f t="shared" si="6"/>
        <v>1854300.6</v>
      </c>
      <c r="I136" s="4">
        <f t="shared" si="7"/>
        <v>0</v>
      </c>
      <c r="J136" s="31">
        <f>RDG!I18</f>
        <v>484002</v>
      </c>
      <c r="K136" s="31">
        <f>RDG!J18</f>
        <v>444777</v>
      </c>
    </row>
    <row r="137" spans="4:11" ht="12.75">
      <c r="D137" s="4" t="s">
        <v>541</v>
      </c>
      <c r="E137" s="4">
        <v>2</v>
      </c>
      <c r="F137" s="4">
        <f>RDG!G19</f>
        <v>136</v>
      </c>
      <c r="G137" s="4">
        <f>IF(RDG!H19=0,"",RDG!H19)</f>
      </c>
      <c r="H137" s="30">
        <f t="shared" si="6"/>
        <v>8808200.48</v>
      </c>
      <c r="I137" s="4">
        <f t="shared" si="7"/>
        <v>0</v>
      </c>
      <c r="J137" s="31">
        <f>RDG!I19</f>
        <v>2760446</v>
      </c>
      <c r="K137" s="31">
        <f>RDG!J19</f>
        <v>1858086</v>
      </c>
    </row>
    <row r="138" spans="4:11" ht="12.75">
      <c r="D138" s="4" t="s">
        <v>541</v>
      </c>
      <c r="E138" s="4">
        <v>2</v>
      </c>
      <c r="F138" s="4">
        <f>RDG!G20</f>
        <v>137</v>
      </c>
      <c r="G138" s="4">
        <f>IF(RDG!H20=0,"",RDG!H20)</f>
      </c>
      <c r="H138" s="30">
        <f t="shared" si="6"/>
        <v>27902755.75</v>
      </c>
      <c r="I138" s="4">
        <f t="shared" si="7"/>
        <v>0</v>
      </c>
      <c r="J138" s="31">
        <f>RDG!I20</f>
        <v>6569097</v>
      </c>
      <c r="K138" s="31">
        <f>RDG!J20</f>
        <v>6898939</v>
      </c>
    </row>
    <row r="139" spans="4:11" ht="12.75">
      <c r="D139" s="4" t="s">
        <v>541</v>
      </c>
      <c r="E139" s="4">
        <v>2</v>
      </c>
      <c r="F139" s="4">
        <f>RDG!G21</f>
        <v>138</v>
      </c>
      <c r="G139" s="4">
        <f>IF(RDG!H21=0,"",RDG!H21)</f>
      </c>
      <c r="H139" s="30">
        <f t="shared" si="6"/>
        <v>18082124.82</v>
      </c>
      <c r="I139" s="4">
        <f t="shared" si="7"/>
        <v>0</v>
      </c>
      <c r="J139" s="31">
        <f>RDG!I21</f>
        <v>4212147</v>
      </c>
      <c r="K139" s="31">
        <f>RDG!J21</f>
        <v>4445421</v>
      </c>
    </row>
    <row r="140" spans="4:11" ht="12.75">
      <c r="D140" s="4" t="s">
        <v>541</v>
      </c>
      <c r="E140" s="4">
        <v>2</v>
      </c>
      <c r="F140" s="4">
        <f>RDG!G22</f>
        <v>139</v>
      </c>
      <c r="G140" s="4">
        <f>IF(RDG!H22=0,"",RDG!H22)</f>
      </c>
      <c r="H140" s="30">
        <f t="shared" si="6"/>
        <v>5924476.07</v>
      </c>
      <c r="I140" s="4">
        <f t="shared" si="7"/>
        <v>0</v>
      </c>
      <c r="J140" s="31">
        <f>RDG!I22</f>
        <v>1398209</v>
      </c>
      <c r="K140" s="31">
        <f>RDG!J22</f>
        <v>1432002</v>
      </c>
    </row>
    <row r="141" spans="4:11" ht="12.75">
      <c r="D141" s="4" t="s">
        <v>541</v>
      </c>
      <c r="E141" s="4">
        <v>2</v>
      </c>
      <c r="F141" s="4">
        <f>RDG!G23</f>
        <v>140</v>
      </c>
      <c r="G141" s="4">
        <f>IF(RDG!H23=0,"",RDG!H23)</f>
      </c>
      <c r="H141" s="30">
        <f t="shared" si="6"/>
        <v>4202482.199999999</v>
      </c>
      <c r="I141" s="4">
        <f t="shared" si="7"/>
        <v>0</v>
      </c>
      <c r="J141" s="31">
        <f>RDG!I23</f>
        <v>958741</v>
      </c>
      <c r="K141" s="31">
        <f>RDG!J23</f>
        <v>1021516</v>
      </c>
    </row>
    <row r="142" spans="4:11" ht="12.75">
      <c r="D142" s="4" t="s">
        <v>541</v>
      </c>
      <c r="E142" s="4">
        <v>2</v>
      </c>
      <c r="F142" s="4">
        <f>RDG!G24</f>
        <v>141</v>
      </c>
      <c r="G142" s="4">
        <f>IF(RDG!H24=0,"",RDG!H24)</f>
      </c>
      <c r="H142" s="30">
        <f t="shared" si="6"/>
        <v>8716649.61</v>
      </c>
      <c r="I142" s="4">
        <f t="shared" si="7"/>
        <v>0</v>
      </c>
      <c r="J142" s="31">
        <f>RDG!I24</f>
        <v>2223309</v>
      </c>
      <c r="K142" s="31">
        <f>RDG!J24</f>
        <v>1979356</v>
      </c>
    </row>
    <row r="143" spans="4:11" ht="12.75">
      <c r="D143" s="4" t="s">
        <v>541</v>
      </c>
      <c r="E143" s="4">
        <v>2</v>
      </c>
      <c r="F143" s="4">
        <f>RDG!G25</f>
        <v>142</v>
      </c>
      <c r="G143" s="4">
        <f>IF(RDG!H25=0,"",RDG!H25)</f>
      </c>
      <c r="H143" s="30">
        <f t="shared" si="6"/>
        <v>9555821.84</v>
      </c>
      <c r="I143" s="4">
        <f t="shared" si="7"/>
        <v>0</v>
      </c>
      <c r="J143" s="31">
        <f>RDG!I25</f>
        <v>2270394</v>
      </c>
      <c r="K143" s="31">
        <f>RDG!J25</f>
        <v>2229529</v>
      </c>
    </row>
    <row r="144" spans="4:11" ht="12.75">
      <c r="D144" s="4" t="s">
        <v>541</v>
      </c>
      <c r="E144" s="4">
        <v>2</v>
      </c>
      <c r="F144" s="4">
        <f>RDG!G26</f>
        <v>143</v>
      </c>
      <c r="G144" s="4">
        <f>IF(RDG!H26=0,"",RDG!H26)</f>
      </c>
      <c r="H144" s="30">
        <f t="shared" si="6"/>
        <v>1440087.22</v>
      </c>
      <c r="I144" s="4">
        <f t="shared" si="7"/>
        <v>0</v>
      </c>
      <c r="J144" s="31">
        <f>RDG!I26</f>
        <v>557194</v>
      </c>
      <c r="K144" s="31">
        <f>RDG!J26</f>
        <v>224930</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1460228.2999999998</v>
      </c>
      <c r="I146" s="4">
        <f t="shared" si="7"/>
        <v>0</v>
      </c>
      <c r="J146" s="31">
        <f>RDG!I28</f>
        <v>557194</v>
      </c>
      <c r="K146" s="31">
        <f>RDG!J28</f>
        <v>224930</v>
      </c>
    </row>
    <row r="147" spans="4:11" ht="12.75">
      <c r="D147" s="4" t="s">
        <v>541</v>
      </c>
      <c r="E147" s="4">
        <v>2</v>
      </c>
      <c r="F147" s="4">
        <f>RDG!G29</f>
        <v>146</v>
      </c>
      <c r="G147" s="4">
        <f>IF(RDG!H29=0,"",RDG!H29)</f>
      </c>
      <c r="H147" s="30">
        <f t="shared" si="6"/>
        <v>2194616.52</v>
      </c>
      <c r="I147" s="4">
        <f t="shared" si="7"/>
        <v>0</v>
      </c>
      <c r="J147" s="31">
        <f>RDG!I29</f>
        <v>0</v>
      </c>
      <c r="K147" s="31">
        <f>RDG!J29</f>
        <v>751581</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2284806.24</v>
      </c>
      <c r="I153" s="4">
        <f t="shared" si="7"/>
        <v>0</v>
      </c>
      <c r="J153" s="31">
        <f>RDG!I35</f>
        <v>0</v>
      </c>
      <c r="K153" s="31">
        <f>RDG!J35</f>
        <v>751581</v>
      </c>
    </row>
    <row r="154" spans="4:11" ht="12.75">
      <c r="D154" s="4" t="s">
        <v>541</v>
      </c>
      <c r="E154" s="4">
        <v>2</v>
      </c>
      <c r="F154" s="4">
        <f>RDG!G36</f>
        <v>153</v>
      </c>
      <c r="G154" s="4">
        <f>IF(RDG!H36=0,"",RDG!H36)</f>
      </c>
      <c r="H154" s="30">
        <f t="shared" si="6"/>
        <v>106697.60999999999</v>
      </c>
      <c r="I154" s="4">
        <f t="shared" si="7"/>
        <v>0</v>
      </c>
      <c r="J154" s="31">
        <f>RDG!I36</f>
        <v>65493</v>
      </c>
      <c r="K154" s="31">
        <f>RDG!J36</f>
        <v>2122</v>
      </c>
    </row>
    <row r="155" spans="4:11" ht="12.75">
      <c r="D155" s="4" t="s">
        <v>541</v>
      </c>
      <c r="E155" s="4">
        <v>2</v>
      </c>
      <c r="F155" s="4">
        <f>RDG!G37</f>
        <v>154</v>
      </c>
      <c r="G155" s="4">
        <f>IF(RDG!H37=0,"",RDG!H37)</f>
      </c>
      <c r="H155" s="30">
        <f t="shared" si="6"/>
        <v>591517.08</v>
      </c>
      <c r="I155" s="4">
        <f t="shared" si="7"/>
        <v>0</v>
      </c>
      <c r="J155" s="31">
        <f>RDG!I37</f>
        <v>107754</v>
      </c>
      <c r="K155" s="31">
        <f>RDG!J37</f>
        <v>138174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618323.72</v>
      </c>
      <c r="I162" s="4">
        <f t="shared" si="7"/>
        <v>0</v>
      </c>
      <c r="J162" s="31">
        <f>RDG!I44</f>
        <v>107748</v>
      </c>
      <c r="K162" s="31">
        <f>RDG!J44</f>
        <v>138152</v>
      </c>
    </row>
    <row r="163" spans="4:11" ht="12.75">
      <c r="D163" s="4" t="s">
        <v>541</v>
      </c>
      <c r="E163" s="4">
        <v>2</v>
      </c>
      <c r="F163" s="4">
        <f>RDG!G45</f>
        <v>162</v>
      </c>
      <c r="G163" s="4">
        <f>IF(RDG!H45=0,"",RDG!H45)</f>
      </c>
      <c r="H163" s="30">
        <f t="shared" si="6"/>
        <v>81</v>
      </c>
      <c r="I163" s="4">
        <f t="shared" si="7"/>
        <v>0</v>
      </c>
      <c r="J163" s="31">
        <f>RDG!I45</f>
        <v>6</v>
      </c>
      <c r="K163" s="31">
        <f>RDG!J45</f>
        <v>22</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25914.9</v>
      </c>
      <c r="I166" s="4">
        <f t="shared" si="7"/>
        <v>0</v>
      </c>
      <c r="J166" s="31">
        <f>RDG!I48</f>
        <v>254</v>
      </c>
      <c r="K166" s="31">
        <f>RDG!J48</f>
        <v>7726</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26345.760000000002</v>
      </c>
      <c r="I169" s="4">
        <f t="shared" si="7"/>
        <v>0</v>
      </c>
      <c r="J169" s="31">
        <f>RDG!I51</f>
        <v>254</v>
      </c>
      <c r="K169" s="31">
        <f>RDG!J51</f>
        <v>7714</v>
      </c>
    </row>
    <row r="170" spans="4:11" ht="12.75">
      <c r="D170" s="4" t="s">
        <v>541</v>
      </c>
      <c r="E170" s="4">
        <v>2</v>
      </c>
      <c r="F170" s="4">
        <f>RDG!G52</f>
        <v>169</v>
      </c>
      <c r="G170" s="4">
        <f>IF(RDG!H52=0,"",RDG!H52)</f>
      </c>
      <c r="H170" s="30">
        <f t="shared" si="6"/>
        <v>40.559999999999995</v>
      </c>
      <c r="I170" s="4">
        <f t="shared" si="7"/>
        <v>0</v>
      </c>
      <c r="J170" s="31">
        <f>RDG!I52</f>
        <v>0</v>
      </c>
      <c r="K170" s="31">
        <f>RDG!J52</f>
        <v>12</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90848551.05000001</v>
      </c>
      <c r="I178" s="4">
        <f t="shared" si="7"/>
        <v>0</v>
      </c>
      <c r="J178" s="31">
        <f>RDG!I60</f>
        <v>17148689</v>
      </c>
      <c r="K178" s="31">
        <f>RDG!J60</f>
        <v>17089088</v>
      </c>
    </row>
    <row r="179" spans="4:11" ht="12.75">
      <c r="D179" s="4" t="s">
        <v>541</v>
      </c>
      <c r="E179" s="4">
        <v>2</v>
      </c>
      <c r="F179" s="4">
        <f>RDG!G61</f>
        <v>178</v>
      </c>
      <c r="G179" s="4">
        <f>IF(RDG!H61=0,"",RDG!H61)</f>
      </c>
      <c r="H179" s="30">
        <f t="shared" si="6"/>
        <v>90119393.94</v>
      </c>
      <c r="I179" s="4">
        <f t="shared" si="7"/>
        <v>0</v>
      </c>
      <c r="J179" s="31">
        <f>RDG!I61</f>
        <v>17033009</v>
      </c>
      <c r="K179" s="31">
        <f>RDG!J61</f>
        <v>16797932</v>
      </c>
    </row>
    <row r="180" spans="4:11" ht="12.75">
      <c r="D180" s="4" t="s">
        <v>541</v>
      </c>
      <c r="E180" s="4">
        <v>2</v>
      </c>
      <c r="F180" s="4">
        <f>RDG!G62</f>
        <v>179</v>
      </c>
      <c r="G180" s="4">
        <f>IF(RDG!H62=0,"",RDG!H62)</f>
      </c>
      <c r="H180" s="30">
        <f t="shared" si="6"/>
        <v>1249405.68</v>
      </c>
      <c r="I180" s="4">
        <f t="shared" si="7"/>
        <v>0</v>
      </c>
      <c r="J180" s="31">
        <f>RDG!I62</f>
        <v>115680</v>
      </c>
      <c r="K180" s="31">
        <f>RDG!J62</f>
        <v>291156</v>
      </c>
    </row>
    <row r="181" spans="4:11" ht="12.75">
      <c r="D181" s="4" t="s">
        <v>541</v>
      </c>
      <c r="E181" s="4">
        <v>2</v>
      </c>
      <c r="F181" s="4">
        <f>RDG!G63</f>
        <v>180</v>
      </c>
      <c r="G181" s="4">
        <f>IF(RDG!H63=0,"",RDG!H63)</f>
      </c>
      <c r="H181" s="30">
        <f t="shared" si="6"/>
        <v>1256385.6</v>
      </c>
      <c r="I181" s="4">
        <f t="shared" si="7"/>
        <v>0</v>
      </c>
      <c r="J181" s="31">
        <f>RDG!I63</f>
        <v>115680</v>
      </c>
      <c r="K181" s="31">
        <f>RDG!J63</f>
        <v>291156</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798595.98</v>
      </c>
      <c r="I183" s="4">
        <f t="shared" si="7"/>
        <v>0</v>
      </c>
      <c r="J183" s="31">
        <f>RDG!I65</f>
        <v>38559</v>
      </c>
      <c r="K183" s="31">
        <f>RDG!J65</f>
        <v>200115</v>
      </c>
    </row>
    <row r="184" spans="4:11" ht="12.75">
      <c r="D184" s="4" t="s">
        <v>541</v>
      </c>
      <c r="E184" s="4">
        <v>2</v>
      </c>
      <c r="F184" s="4">
        <f>RDG!G66</f>
        <v>183</v>
      </c>
      <c r="G184" s="4">
        <f>IF(RDG!H66=0,"",RDG!H66)</f>
      </c>
      <c r="H184" s="30">
        <f t="shared" si="6"/>
        <v>474341.49</v>
      </c>
      <c r="I184" s="4">
        <f t="shared" si="7"/>
        <v>0</v>
      </c>
      <c r="J184" s="31">
        <f>RDG!I66</f>
        <v>77121</v>
      </c>
      <c r="K184" s="31">
        <f>RDG!J66</f>
        <v>91041</v>
      </c>
    </row>
    <row r="185" spans="4:11" ht="12.75">
      <c r="D185" s="4" t="s">
        <v>541</v>
      </c>
      <c r="E185" s="4">
        <v>2</v>
      </c>
      <c r="F185" s="4">
        <f>RDG!G67</f>
        <v>184</v>
      </c>
      <c r="G185" s="4">
        <f>IF(RDG!H67=0,"",RDG!H67)</f>
      </c>
      <c r="H185" s="30">
        <f t="shared" si="6"/>
        <v>476933.52</v>
      </c>
      <c r="I185" s="4">
        <f t="shared" si="7"/>
        <v>0</v>
      </c>
      <c r="J185" s="31">
        <f>RDG!I67</f>
        <v>77121</v>
      </c>
      <c r="K185" s="31">
        <f>RDG!J67</f>
        <v>91041</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30" activePane="bottomLeft" state="frozen"/>
      <selection pane="topLeft" activeCell="A2" sqref="A2"/>
      <selection pane="bottomLeft" activeCell="C2" sqref="C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 DD</v>
      </c>
      <c r="X2" s="209" t="s">
        <v>207</v>
      </c>
      <c r="Y2" s="231">
        <f>IF(RefStr!C54&lt;&gt;"",RefStr!C54,"")</f>
        <v>100</v>
      </c>
      <c r="Z2" s="209" t="s">
        <v>2326</v>
      </c>
      <c r="AA2" s="231">
        <f>IF(RefStr!B64="","",RefStr!B64)</f>
      </c>
    </row>
    <row r="3" spans="1:27" ht="13.5" customHeight="1">
      <c r="A3" s="496" t="s">
        <v>2472</v>
      </c>
      <c r="B3" s="497"/>
      <c r="C3" s="497"/>
      <c r="D3" s="497"/>
      <c r="E3" s="497"/>
      <c r="F3" s="497"/>
      <c r="G3" s="497"/>
      <c r="H3" s="497"/>
      <c r="I3" s="504"/>
      <c r="J3" s="505"/>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f>IF(RefStr!B66="","",RefStr!B66)</f>
      </c>
    </row>
    <row r="4" spans="1:27" ht="13.5" customHeight="1">
      <c r="A4" s="498"/>
      <c r="B4" s="499"/>
      <c r="C4" s="499"/>
      <c r="D4" s="499"/>
      <c r="E4" s="499"/>
      <c r="F4" s="499"/>
      <c r="G4" s="499"/>
      <c r="H4" s="499"/>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31407797858</v>
      </c>
      <c r="V4" s="211" t="s">
        <v>2356</v>
      </c>
      <c r="W4" s="232" t="str">
        <f>RefStr!F31</f>
        <v>IVANEC</v>
      </c>
      <c r="X4" s="234" t="s">
        <v>222</v>
      </c>
      <c r="Y4" s="235" t="str">
        <f>RefStr!I68</f>
        <v>DA</v>
      </c>
      <c r="Z4" s="211" t="s">
        <v>2570</v>
      </c>
      <c r="AA4" s="232" t="str">
        <f>RefStr!N19</f>
        <v>HSFI</v>
      </c>
    </row>
    <row r="5" spans="1:27" ht="13.5" customHeight="1">
      <c r="A5" s="498"/>
      <c r="B5" s="499"/>
      <c r="C5" s="499"/>
      <c r="D5" s="499"/>
      <c r="E5" s="499"/>
      <c r="F5" s="499"/>
      <c r="G5" s="499"/>
      <c r="H5" s="499"/>
      <c r="I5" s="506"/>
      <c r="J5" s="507"/>
      <c r="L5" s="3"/>
      <c r="M5" s="3"/>
      <c r="N5" s="208" t="s">
        <v>1523</v>
      </c>
      <c r="O5" s="211">
        <f>NT_I!Q1</f>
        <v>0</v>
      </c>
      <c r="P5" s="212">
        <f>NT_I!Q2</f>
        <v>0</v>
      </c>
      <c r="Q5" s="232">
        <f>NT_I!Q3</f>
        <v>0</v>
      </c>
      <c r="R5" s="211" t="s">
        <v>1197</v>
      </c>
      <c r="S5" s="232">
        <f>IF(RefStr!C19&lt;&gt;"",IF(ISERROR(INT(RefStr!C19)),0,RefStr!C19),0)</f>
        <v>2</v>
      </c>
      <c r="T5" s="211" t="s">
        <v>2352</v>
      </c>
      <c r="U5" s="232" t="str">
        <f>RefStr!H27</f>
        <v>03136906</v>
      </c>
      <c r="V5" s="211" t="s">
        <v>2357</v>
      </c>
      <c r="W5" s="232" t="str">
        <f>RefStr!C33</f>
        <v>V. Nazora 96 B</v>
      </c>
      <c r="X5" s="234" t="s">
        <v>2517</v>
      </c>
      <c r="Y5" s="235" t="str">
        <f>RefStr!I62</f>
        <v>DA</v>
      </c>
      <c r="Z5" s="211" t="s">
        <v>691</v>
      </c>
      <c r="AA5" s="232">
        <f>RefStr!M46</f>
        <v>0</v>
      </c>
    </row>
    <row r="6" spans="1:27" ht="13.5" customHeight="1">
      <c r="A6" s="498"/>
      <c r="B6" s="499"/>
      <c r="C6" s="499"/>
      <c r="D6" s="499"/>
      <c r="E6" s="499"/>
      <c r="F6" s="499"/>
      <c r="G6" s="499"/>
      <c r="H6" s="499"/>
      <c r="I6" s="506"/>
      <c r="J6" s="507"/>
      <c r="L6" s="3"/>
      <c r="M6" s="3"/>
      <c r="N6" s="208" t="s">
        <v>1524</v>
      </c>
      <c r="O6" s="211">
        <f>NT_D!Q1</f>
        <v>0</v>
      </c>
      <c r="P6" s="212">
        <f>NT_D!Q2</f>
        <v>0</v>
      </c>
      <c r="Q6" s="232">
        <f>NT_D!Q3</f>
        <v>0</v>
      </c>
      <c r="R6" s="211" t="s">
        <v>1195</v>
      </c>
      <c r="S6" s="232" t="str">
        <f>RefStr!C21</f>
        <v>NE</v>
      </c>
      <c r="T6" s="211" t="s">
        <v>2353</v>
      </c>
      <c r="U6" s="232" t="str">
        <f>RefStr!M27</f>
        <v>070000553</v>
      </c>
      <c r="V6" s="211" t="s">
        <v>2568</v>
      </c>
      <c r="W6" s="232" t="str">
        <f>RefStr!L35</f>
        <v>042/770-550</v>
      </c>
      <c r="X6" s="211" t="s">
        <v>2514</v>
      </c>
      <c r="Y6" s="232" t="str">
        <f>RefStr!C68</f>
        <v>Brankica Kušen</v>
      </c>
      <c r="Z6" s="211" t="s">
        <v>1415</v>
      </c>
      <c r="AA6" s="232">
        <f>RefStr!C46</f>
        <v>0</v>
      </c>
    </row>
    <row r="7" spans="1:27" ht="13.5" customHeight="1">
      <c r="A7" s="498"/>
      <c r="B7" s="499"/>
      <c r="C7" s="499"/>
      <c r="D7" s="499"/>
      <c r="E7" s="499"/>
      <c r="F7" s="499"/>
      <c r="G7" s="499"/>
      <c r="H7" s="499"/>
      <c r="I7" s="222" t="s">
        <v>16</v>
      </c>
      <c r="J7" s="224">
        <f>SUM(M12:M120)</f>
        <v>0</v>
      </c>
      <c r="N7" s="208" t="s">
        <v>542</v>
      </c>
      <c r="O7" s="211">
        <f>PK!AA1</f>
        <v>0</v>
      </c>
      <c r="P7" s="212">
        <f>PK!AA2</f>
        <v>0</v>
      </c>
      <c r="Q7" s="232">
        <f>PK!AA3</f>
        <v>0</v>
      </c>
      <c r="R7" s="211" t="s">
        <v>2569</v>
      </c>
      <c r="S7" s="232">
        <f>IF(RefStr!C44&lt;&gt;"",IF(ISERROR(INT(RefStr!C44)),0,RefStr!C44),0)</f>
        <v>7</v>
      </c>
      <c r="T7" s="211" t="s">
        <v>1862</v>
      </c>
      <c r="U7" s="232">
        <f>RefStr!C7</f>
        <v>4</v>
      </c>
      <c r="V7" s="211" t="s">
        <v>1193</v>
      </c>
      <c r="W7" s="232" t="str">
        <f>TRIM(UPPER(RefStr!C35))</f>
        <v>IVKOM@IVKOM.HR</v>
      </c>
      <c r="X7" s="211" t="s">
        <v>2515</v>
      </c>
      <c r="Y7" s="232" t="str">
        <f>RefStr!C70</f>
        <v>042770573</v>
      </c>
      <c r="Z7" s="211" t="s">
        <v>1416</v>
      </c>
      <c r="AA7" s="232">
        <f>RefStr!D46</f>
      </c>
    </row>
    <row r="8" spans="1:27" ht="13.5" customHeight="1">
      <c r="A8" s="500"/>
      <c r="B8" s="501"/>
      <c r="C8" s="501"/>
      <c r="D8" s="501"/>
      <c r="E8" s="501"/>
      <c r="F8" s="501"/>
      <c r="G8" s="501"/>
      <c r="H8" s="501"/>
      <c r="I8" s="502"/>
      <c r="J8" s="503"/>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Dioničko društvo</v>
      </c>
      <c r="V8" s="211" t="s">
        <v>2574</v>
      </c>
      <c r="W8" s="232" t="str">
        <f>RefStr!C42</f>
        <v>3811</v>
      </c>
      <c r="X8" s="211" t="s">
        <v>2516</v>
      </c>
      <c r="Y8" s="232" t="str">
        <f>TRIM(UPPER(RefStr!C72))</f>
        <v>BRANKICA@IVKOM.HR</v>
      </c>
      <c r="Z8" s="236" t="s">
        <v>218</v>
      </c>
      <c r="AA8" s="237" t="str">
        <f>RefStr!I56</f>
        <v>DA</v>
      </c>
    </row>
    <row r="9" spans="1:27" ht="13.5" customHeight="1">
      <c r="A9" s="491" t="s">
        <v>566</v>
      </c>
      <c r="B9" s="491"/>
      <c r="C9" s="491" t="s">
        <v>727</v>
      </c>
      <c r="D9" s="491"/>
      <c r="E9" s="491"/>
      <c r="F9" s="491"/>
      <c r="G9" s="491"/>
      <c r="H9" s="491"/>
      <c r="I9" s="491"/>
      <c r="J9" s="491"/>
      <c r="L9" s="195"/>
      <c r="M9" s="195"/>
      <c r="O9" s="230" t="s">
        <v>614</v>
      </c>
      <c r="P9" s="209">
        <f>RefStr!C58</f>
        <v>69</v>
      </c>
      <c r="Q9" s="231">
        <f>RefStr!F58</f>
        <v>73</v>
      </c>
      <c r="R9" s="211" t="s">
        <v>1860</v>
      </c>
      <c r="S9" s="232">
        <f>IF(RefStr!F4&lt;&gt;"",RefStr!F4,0)</f>
        <v>44196</v>
      </c>
      <c r="T9" s="211" t="s">
        <v>1821</v>
      </c>
      <c r="U9" s="232">
        <f>RefStr!C39</f>
        <v>156</v>
      </c>
      <c r="V9" s="211" t="s">
        <v>1414</v>
      </c>
      <c r="W9" s="232" t="str">
        <f>RefStr!D42</f>
        <v>Skupljanje neopasnog otpada</v>
      </c>
      <c r="X9" s="238" t="s">
        <v>221</v>
      </c>
      <c r="Y9" s="239" t="str">
        <f>RefStr!I66</f>
        <v>DA</v>
      </c>
      <c r="Z9" s="236" t="s">
        <v>219</v>
      </c>
      <c r="AA9" s="237" t="str">
        <f>RefStr!I64</f>
        <v>NE</v>
      </c>
    </row>
    <row r="10" spans="1:27" ht="13.5" customHeight="1">
      <c r="A10" s="492"/>
      <c r="B10" s="492"/>
      <c r="C10" s="492"/>
      <c r="D10" s="492"/>
      <c r="E10" s="492"/>
      <c r="F10" s="492"/>
      <c r="G10" s="492"/>
      <c r="H10" s="492"/>
      <c r="I10" s="492"/>
      <c r="J10" s="492"/>
      <c r="L10" s="195"/>
      <c r="M10" s="195"/>
      <c r="O10" s="230" t="s">
        <v>2123</v>
      </c>
      <c r="P10" s="213">
        <f>RefStr!C56</f>
        <v>78</v>
      </c>
      <c r="Q10" s="233">
        <f>RefStr!F56</f>
        <v>83</v>
      </c>
      <c r="R10" s="213" t="s">
        <v>1863</v>
      </c>
      <c r="S10" s="233">
        <f>RefStr!C23</f>
        <v>1</v>
      </c>
      <c r="T10" s="213" t="s">
        <v>2573</v>
      </c>
      <c r="U10" s="233" t="str">
        <f>RefStr!D39</f>
        <v>Ivanec</v>
      </c>
      <c r="V10" s="240"/>
      <c r="W10" s="241"/>
      <c r="X10" s="242" t="s">
        <v>1974</v>
      </c>
      <c r="Y10" s="243">
        <f>RefStr!F12</f>
        <v>2020</v>
      </c>
      <c r="Z10" s="213" t="s">
        <v>209</v>
      </c>
      <c r="AA10" s="233" t="str">
        <f>RefStr!A75</f>
        <v>Rajh Edo</v>
      </c>
    </row>
    <row r="11" spans="1:25" ht="13.5" customHeight="1">
      <c r="A11" s="488" t="s">
        <v>642</v>
      </c>
      <c r="B11" s="489"/>
      <c r="C11" s="489"/>
      <c r="D11" s="489"/>
      <c r="E11" s="489"/>
      <c r="F11" s="489"/>
      <c r="G11" s="489"/>
      <c r="H11" s="489"/>
      <c r="I11" s="489"/>
      <c r="J11" s="490"/>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493" t="s">
        <v>516</v>
      </c>
      <c r="B42" s="494"/>
      <c r="C42" s="494"/>
      <c r="D42" s="494"/>
      <c r="E42" s="494"/>
      <c r="F42" s="494"/>
      <c r="G42" s="494"/>
      <c r="H42" s="494"/>
      <c r="I42" s="494"/>
      <c r="J42" s="495"/>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7"/>
      <c r="E50" s="487"/>
      <c r="F50" s="487"/>
      <c r="G50" s="487"/>
      <c r="H50" s="487"/>
      <c r="I50" s="487"/>
      <c r="J50" s="487"/>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1</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1</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\\VEPISSERVER\Company\IVKOM D.D. IVANEC\2020. - IVKOM D.D\RACUNOVODSTVO\BRANKICA\ZAVRŠNI 2020\Ivkom-Vode\javna objava - Vode 2020\[GFI-POD - Vode 2020.xls]RDG</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72:J72"/>
    <mergeCell ref="C88:J88"/>
    <mergeCell ref="C82:J82"/>
    <mergeCell ref="C86:J86"/>
    <mergeCell ref="C87:J87"/>
    <mergeCell ref="C83:J83"/>
    <mergeCell ref="C85:J85"/>
    <mergeCell ref="C62:J62"/>
    <mergeCell ref="C71:J71"/>
    <mergeCell ref="C97:J97"/>
    <mergeCell ref="C84:J84"/>
    <mergeCell ref="C45:J45"/>
    <mergeCell ref="C50:J50"/>
    <mergeCell ref="C79:J79"/>
    <mergeCell ref="C95:J95"/>
    <mergeCell ref="C96:J96"/>
    <mergeCell ref="C49:J49"/>
    <mergeCell ref="A73:J73"/>
    <mergeCell ref="C47:J47"/>
    <mergeCell ref="C104:J104"/>
    <mergeCell ref="C103:J103"/>
    <mergeCell ref="C76:J76"/>
    <mergeCell ref="C90:J90"/>
    <mergeCell ref="C89:J89"/>
    <mergeCell ref="C75:J75"/>
    <mergeCell ref="C57:J57"/>
    <mergeCell ref="C74:J74"/>
    <mergeCell ref="C101:J101"/>
    <mergeCell ref="C100:J100"/>
    <mergeCell ref="C80:J80"/>
    <mergeCell ref="C78:J78"/>
    <mergeCell ref="C77:J77"/>
    <mergeCell ref="C66:J66"/>
    <mergeCell ref="C68:J68"/>
    <mergeCell ref="C70:J70"/>
    <mergeCell ref="C67:J67"/>
    <mergeCell ref="C69:J69"/>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40:J40"/>
    <mergeCell ref="C52:J52"/>
    <mergeCell ref="C53:J53"/>
    <mergeCell ref="C43:J43"/>
    <mergeCell ref="A42:J42"/>
    <mergeCell ref="C48:J48"/>
    <mergeCell ref="C51:J51"/>
    <mergeCell ref="C20:J20"/>
    <mergeCell ref="C38:J38"/>
    <mergeCell ref="C12:J12"/>
    <mergeCell ref="C46:J46"/>
    <mergeCell ref="C63:J63"/>
    <mergeCell ref="C44:J44"/>
    <mergeCell ref="C58:J58"/>
    <mergeCell ref="A11:J11"/>
    <mergeCell ref="C54:J54"/>
    <mergeCell ref="C55:J55"/>
    <mergeCell ref="C60:J60"/>
    <mergeCell ref="C61:J61"/>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14" activePane="bottomLeft" state="frozen"/>
      <selection pane="topLeft" activeCell="A1" sqref="A1"/>
      <selection pane="bottomLeft" activeCell="E1" sqref="E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4</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Dioničko društvo</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313690.6</v>
      </c>
    </row>
    <row r="13" spans="4:17" ht="9.75" customHeight="1">
      <c r="D13" s="156"/>
      <c r="E13" s="162"/>
      <c r="H13" s="27"/>
      <c r="I13" s="163"/>
      <c r="J13" s="163"/>
      <c r="K13" s="156"/>
      <c r="L13" s="156"/>
      <c r="M13" s="156"/>
      <c r="N13" s="156"/>
      <c r="P13" s="54" t="s">
        <v>2353</v>
      </c>
      <c r="Q13" s="55">
        <f>INT(VALUE(M27))/50</f>
        <v>1400011.06</v>
      </c>
    </row>
    <row r="14" spans="1:17" ht="15">
      <c r="A14" s="321" t="s">
        <v>2714</v>
      </c>
      <c r="B14" s="321"/>
      <c r="C14" s="321"/>
      <c r="D14" s="164"/>
      <c r="E14" s="165"/>
      <c r="F14" s="319"/>
      <c r="G14" s="320"/>
      <c r="H14" s="320"/>
      <c r="I14" s="156"/>
      <c r="J14" s="327" t="s">
        <v>2100</v>
      </c>
      <c r="K14" s="328"/>
      <c r="L14" s="328"/>
      <c r="M14" s="328"/>
      <c r="N14" s="328"/>
      <c r="P14" s="54" t="s">
        <v>2718</v>
      </c>
      <c r="Q14" s="55">
        <f>INT(VALUE(C27))/100</f>
        <v>314077978.58</v>
      </c>
    </row>
    <row r="15" spans="1:17" ht="19.5" customHeight="1">
      <c r="A15" s="324">
        <f>Skriveni!B59</f>
        <v>1692523214.8000002</v>
      </c>
      <c r="B15" s="325"/>
      <c r="C15" s="326"/>
      <c r="D15" s="60"/>
      <c r="E15" s="60"/>
      <c r="F15" s="60"/>
      <c r="G15" s="60"/>
      <c r="H15" s="60"/>
      <c r="I15" s="60"/>
      <c r="J15" s="60"/>
      <c r="K15" s="60"/>
      <c r="L15" s="60"/>
      <c r="M15" s="60"/>
      <c r="N15" s="60"/>
      <c r="P15" s="54" t="s">
        <v>1817</v>
      </c>
      <c r="Q15" s="55">
        <f>LEN(Skriveni!B9)</f>
        <v>8</v>
      </c>
    </row>
    <row r="16" spans="4:17" ht="12.75" customHeight="1">
      <c r="D16" s="60"/>
      <c r="E16" s="60"/>
      <c r="F16" s="60"/>
      <c r="G16" s="60"/>
      <c r="H16" s="60"/>
      <c r="I16" s="60"/>
      <c r="P16" s="54" t="s">
        <v>1818</v>
      </c>
      <c r="Q16" s="55">
        <f>INT(VALUE(C31))/100</f>
        <v>422.4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14</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2965</v>
      </c>
      <c r="M21" s="342"/>
      <c r="N21" s="277"/>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3811</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42240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2961</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2960</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156</v>
      </c>
      <c r="D39" s="348" t="str">
        <f>IF(C39="","Šifra grada/općine nije upisana",IF(ISNA(LOOKUP(C39,A177:A732,A177:A732)),"Šifra grada/općine ne postoji",IF(LOOKUP(C39,A177:A732,A177:A732)&lt;&gt;C39,"Šifra grada/općine ne postoji",LOOKUP(C39,A177:A732,B177:B732))))</f>
        <v>Ivanec</v>
      </c>
      <c r="E39" s="349"/>
      <c r="F39" s="349"/>
      <c r="G39" s="349"/>
      <c r="H39" s="272" t="s">
        <v>2222</v>
      </c>
      <c r="I39" s="344"/>
      <c r="J39" s="58">
        <f>IF(C39&gt;0,LOOKUP(C39,A177:A732,C177:C732),"")</f>
        <v>5</v>
      </c>
      <c r="K39" s="351" t="str">
        <f>IF(J39="","Treba prvo upisati šifru grada/općine",LOOKUP(J39,A153:A173,B153:B173))</f>
        <v>VARAŽDINSKA</v>
      </c>
      <c r="L39" s="351"/>
      <c r="M39" s="351"/>
      <c r="N39" s="351"/>
      <c r="P39" s="54" t="s">
        <v>1826</v>
      </c>
      <c r="Q39" s="55">
        <f>C56+2*F56+3*C58+4*F58</f>
        <v>743</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2049</v>
      </c>
      <c r="D42" s="353" t="str">
        <f>IF(C42="","Šifra NKD-a nije upisana",IF(ISNA(LOOKUP(C42,A736:A1351,A736:A1351)),"Šifra NKD-a ne postoji",IF(LOOKUP(C42,A736:A1351,A736:A1351)&lt;&gt;C42,"Šifra NKD-a ne postoji",LOOKUP(C42,A736:A1351,B736:B1351))))</f>
        <v>Skupljanje neopasnog otpada</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7</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Krajnje matično društvo u grupi (nema nadređeno društvo) </v>
      </c>
      <c r="E44" s="357"/>
      <c r="F44" s="357"/>
      <c r="G44" s="357"/>
      <c r="H44" s="357"/>
      <c r="I44" s="357"/>
      <c r="J44" s="357"/>
      <c r="K44" s="357"/>
      <c r="L44" s="357"/>
      <c r="M44" s="357"/>
      <c r="N44" s="357"/>
      <c r="P44" s="54" t="s">
        <v>530</v>
      </c>
      <c r="Q44" s="55">
        <f>LEN(Skriveni!B43)</f>
        <v>8</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417482003.89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0.7</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78</v>
      </c>
      <c r="D56" s="270" t="s">
        <v>2898</v>
      </c>
      <c r="E56" s="380"/>
      <c r="F56" s="44">
        <v>83</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69</v>
      </c>
      <c r="D58" s="278" t="s">
        <v>2898</v>
      </c>
      <c r="E58" s="278"/>
      <c r="F58" s="44">
        <v>73</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2962</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2963</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2966</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65" activePane="bottomLeft" state="frozen"/>
      <selection pane="topLeft" activeCell="A1" sqref="A1"/>
      <selection pane="bottomLeft"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31407797858; IVKOM DD</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16330728</v>
      </c>
      <c r="J10" s="70">
        <f>J11+J18+J28+J39+J44</f>
        <v>15855331</v>
      </c>
    </row>
    <row r="11" spans="1:10" ht="13.5" customHeight="1">
      <c r="A11" s="384" t="s">
        <v>1850</v>
      </c>
      <c r="B11" s="384"/>
      <c r="C11" s="384"/>
      <c r="D11" s="384"/>
      <c r="E11" s="384"/>
      <c r="F11" s="384"/>
      <c r="G11" s="19">
        <v>3</v>
      </c>
      <c r="H11" s="20"/>
      <c r="I11" s="70">
        <f>SUM(I12:I17)</f>
        <v>648270</v>
      </c>
      <c r="J11" s="70">
        <f>SUM(J12:J17)</f>
        <v>652980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53913</v>
      </c>
      <c r="J13" s="71">
        <v>5620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594357</v>
      </c>
      <c r="J17" s="71">
        <v>647360</v>
      </c>
    </row>
    <row r="18" spans="1:10" ht="13.5" customHeight="1">
      <c r="A18" s="384" t="s">
        <v>731</v>
      </c>
      <c r="B18" s="384"/>
      <c r="C18" s="384"/>
      <c r="D18" s="384"/>
      <c r="E18" s="384"/>
      <c r="F18" s="384"/>
      <c r="G18" s="19">
        <v>10</v>
      </c>
      <c r="H18" s="20"/>
      <c r="I18" s="70">
        <f>SUM(I19:I27)</f>
        <v>13390582</v>
      </c>
      <c r="J18" s="70">
        <f>SUM(J19:J27)</f>
        <v>12910475</v>
      </c>
    </row>
    <row r="19" spans="1:10" ht="13.5" customHeight="1">
      <c r="A19" s="383" t="s">
        <v>2176</v>
      </c>
      <c r="B19" s="383"/>
      <c r="C19" s="383"/>
      <c r="D19" s="383"/>
      <c r="E19" s="383"/>
      <c r="F19" s="383"/>
      <c r="G19" s="19">
        <v>11</v>
      </c>
      <c r="H19" s="20"/>
      <c r="I19" s="71">
        <v>17722</v>
      </c>
      <c r="J19" s="71">
        <v>17722</v>
      </c>
    </row>
    <row r="20" spans="1:10" ht="13.5" customHeight="1">
      <c r="A20" s="383" t="s">
        <v>543</v>
      </c>
      <c r="B20" s="383"/>
      <c r="C20" s="383"/>
      <c r="D20" s="383"/>
      <c r="E20" s="383"/>
      <c r="F20" s="383"/>
      <c r="G20" s="19">
        <v>12</v>
      </c>
      <c r="H20" s="20"/>
      <c r="I20" s="71">
        <v>11132630</v>
      </c>
      <c r="J20" s="71">
        <v>10019983</v>
      </c>
    </row>
    <row r="21" spans="1:10" ht="13.5" customHeight="1">
      <c r="A21" s="383" t="s">
        <v>2177</v>
      </c>
      <c r="B21" s="383"/>
      <c r="C21" s="383"/>
      <c r="D21" s="383"/>
      <c r="E21" s="383"/>
      <c r="F21" s="383"/>
      <c r="G21" s="19">
        <v>13</v>
      </c>
      <c r="H21" s="20"/>
      <c r="I21" s="71">
        <v>553917</v>
      </c>
      <c r="J21" s="71">
        <v>429488</v>
      </c>
    </row>
    <row r="22" spans="1:10" ht="13.5" customHeight="1">
      <c r="A22" s="383" t="s">
        <v>2290</v>
      </c>
      <c r="B22" s="383"/>
      <c r="C22" s="383"/>
      <c r="D22" s="383"/>
      <c r="E22" s="383"/>
      <c r="F22" s="383"/>
      <c r="G22" s="19">
        <v>14</v>
      </c>
      <c r="H22" s="20"/>
      <c r="I22" s="71">
        <v>887262</v>
      </c>
      <c r="J22" s="71">
        <v>1505454</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799051</v>
      </c>
      <c r="J25" s="71">
        <v>937828</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2291876</v>
      </c>
      <c r="J28" s="70">
        <f>SUM(J29:J38)</f>
        <v>2291876</v>
      </c>
    </row>
    <row r="29" spans="1:10" ht="13.5" customHeight="1">
      <c r="A29" s="383" t="s">
        <v>399</v>
      </c>
      <c r="B29" s="383"/>
      <c r="C29" s="383"/>
      <c r="D29" s="383"/>
      <c r="E29" s="383"/>
      <c r="F29" s="383"/>
      <c r="G29" s="19">
        <v>21</v>
      </c>
      <c r="H29" s="20"/>
      <c r="I29" s="71">
        <v>2291876</v>
      </c>
      <c r="J29" s="71">
        <v>2291876</v>
      </c>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9031734</v>
      </c>
      <c r="J45" s="70">
        <f>J46+J54+J61+J71</f>
        <v>10315992</v>
      </c>
    </row>
    <row r="46" spans="1:10" ht="13.5" customHeight="1">
      <c r="A46" s="384" t="s">
        <v>2647</v>
      </c>
      <c r="B46" s="384"/>
      <c r="C46" s="384"/>
      <c r="D46" s="384"/>
      <c r="E46" s="384"/>
      <c r="F46" s="384"/>
      <c r="G46" s="19">
        <v>38</v>
      </c>
      <c r="H46" s="20"/>
      <c r="I46" s="70">
        <f>SUM(I47:I53)</f>
        <v>452346</v>
      </c>
      <c r="J46" s="70">
        <f>SUM(J47:J53)</f>
        <v>436456</v>
      </c>
    </row>
    <row r="47" spans="1:10" ht="13.5" customHeight="1">
      <c r="A47" s="383" t="s">
        <v>970</v>
      </c>
      <c r="B47" s="383"/>
      <c r="C47" s="383"/>
      <c r="D47" s="383"/>
      <c r="E47" s="383"/>
      <c r="F47" s="383"/>
      <c r="G47" s="19">
        <v>39</v>
      </c>
      <c r="H47" s="20"/>
      <c r="I47" s="71">
        <v>348901</v>
      </c>
      <c r="J47" s="71">
        <v>325182</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v>103445</v>
      </c>
      <c r="J50" s="71">
        <v>111274</v>
      </c>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2127391</v>
      </c>
      <c r="J54" s="70">
        <f>SUM(J55:J60)</f>
        <v>3621190</v>
      </c>
    </row>
    <row r="55" spans="1:10" ht="13.5" customHeight="1">
      <c r="A55" s="383" t="s">
        <v>348</v>
      </c>
      <c r="B55" s="383"/>
      <c r="C55" s="383"/>
      <c r="D55" s="383"/>
      <c r="E55" s="383"/>
      <c r="F55" s="383"/>
      <c r="G55" s="19">
        <v>47</v>
      </c>
      <c r="H55" s="20"/>
      <c r="I55" s="71">
        <v>66357</v>
      </c>
      <c r="J55" s="71">
        <v>95162</v>
      </c>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2029556</v>
      </c>
      <c r="J57" s="71">
        <v>3495923</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30088</v>
      </c>
      <c r="J59" s="71">
        <v>20105</v>
      </c>
    </row>
    <row r="60" spans="1:10" ht="13.5" customHeight="1">
      <c r="A60" s="383" t="s">
        <v>2638</v>
      </c>
      <c r="B60" s="383"/>
      <c r="C60" s="383"/>
      <c r="D60" s="383"/>
      <c r="E60" s="383"/>
      <c r="F60" s="383"/>
      <c r="G60" s="19">
        <v>52</v>
      </c>
      <c r="H60" s="20"/>
      <c r="I60" s="71">
        <v>1390</v>
      </c>
      <c r="J60" s="71">
        <v>10000</v>
      </c>
    </row>
    <row r="61" spans="1:10" ht="13.5" customHeight="1">
      <c r="A61" s="384" t="s">
        <v>2649</v>
      </c>
      <c r="B61" s="384"/>
      <c r="C61" s="384"/>
      <c r="D61" s="384"/>
      <c r="E61" s="384"/>
      <c r="F61" s="384"/>
      <c r="G61" s="19">
        <v>53</v>
      </c>
      <c r="H61" s="20"/>
      <c r="I61" s="70">
        <f>SUM(I62:I70)</f>
        <v>0</v>
      </c>
      <c r="J61" s="70">
        <f>SUM(J62:J70)</f>
        <v>627289</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v>627289</v>
      </c>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6451997</v>
      </c>
      <c r="J71" s="71">
        <v>5631057</v>
      </c>
    </row>
    <row r="72" spans="1:10" ht="24.75" customHeight="1">
      <c r="A72" s="381" t="s">
        <v>1558</v>
      </c>
      <c r="B72" s="381"/>
      <c r="C72" s="381"/>
      <c r="D72" s="381"/>
      <c r="E72" s="381"/>
      <c r="F72" s="381"/>
      <c r="G72" s="19">
        <v>64</v>
      </c>
      <c r="H72" s="20"/>
      <c r="I72" s="71">
        <v>24440</v>
      </c>
      <c r="J72" s="71">
        <v>31816</v>
      </c>
    </row>
    <row r="73" spans="1:10" ht="13.5" customHeight="1">
      <c r="A73" s="381" t="s">
        <v>2650</v>
      </c>
      <c r="B73" s="381"/>
      <c r="C73" s="381"/>
      <c r="D73" s="381"/>
      <c r="E73" s="381"/>
      <c r="F73" s="381"/>
      <c r="G73" s="19">
        <v>65</v>
      </c>
      <c r="H73" s="20"/>
      <c r="I73" s="70">
        <f>I9+I10+I45+I72</f>
        <v>25386902</v>
      </c>
      <c r="J73" s="70">
        <f>J9+J10+J45+J72</f>
        <v>26203139</v>
      </c>
    </row>
    <row r="74" spans="1:10" ht="13.5" customHeight="1">
      <c r="A74" s="382" t="s">
        <v>257</v>
      </c>
      <c r="B74" s="382"/>
      <c r="C74" s="382"/>
      <c r="D74" s="382"/>
      <c r="E74" s="382"/>
      <c r="F74" s="382"/>
      <c r="G74" s="21">
        <v>66</v>
      </c>
      <c r="H74" s="22"/>
      <c r="I74" s="72">
        <v>25386902</v>
      </c>
      <c r="J74" s="72">
        <v>26203139</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14176721</v>
      </c>
      <c r="J76" s="70">
        <f>J77+J78+J79+J85+J86+J90+J93+J96</f>
        <v>14267762</v>
      </c>
      <c r="L76" s="2" t="s">
        <v>2591</v>
      </c>
    </row>
    <row r="77" spans="1:10" ht="13.5" customHeight="1">
      <c r="A77" s="384" t="s">
        <v>935</v>
      </c>
      <c r="B77" s="384"/>
      <c r="C77" s="384"/>
      <c r="D77" s="384"/>
      <c r="E77" s="384"/>
      <c r="F77" s="384"/>
      <c r="G77" s="19">
        <v>68</v>
      </c>
      <c r="H77" s="20"/>
      <c r="I77" s="71">
        <v>10512810</v>
      </c>
      <c r="J77" s="71">
        <v>10512810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2955955</v>
      </c>
      <c r="J79" s="70">
        <f>J80+J81-J82+J83+J84</f>
        <v>2955955</v>
      </c>
      <c r="L79" s="2" t="s">
        <v>2591</v>
      </c>
    </row>
    <row r="80" spans="1:10" ht="13.5" customHeight="1">
      <c r="A80" s="383" t="s">
        <v>2641</v>
      </c>
      <c r="B80" s="383"/>
      <c r="C80" s="383"/>
      <c r="D80" s="383"/>
      <c r="E80" s="383"/>
      <c r="F80" s="383"/>
      <c r="G80" s="19">
        <v>71</v>
      </c>
      <c r="H80" s="20"/>
      <c r="I80" s="71">
        <v>59761</v>
      </c>
      <c r="J80" s="71">
        <v>59761</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2896194</v>
      </c>
      <c r="J84" s="71">
        <v>2896194</v>
      </c>
    </row>
    <row r="85" spans="1:12" ht="13.5" customHeight="1">
      <c r="A85" s="384" t="s">
        <v>1606</v>
      </c>
      <c r="B85" s="384"/>
      <c r="C85" s="384"/>
      <c r="D85" s="384"/>
      <c r="E85" s="384"/>
      <c r="F85" s="384"/>
      <c r="G85" s="19">
        <v>76</v>
      </c>
      <c r="H85" s="20"/>
      <c r="I85" s="71">
        <v>348367</v>
      </c>
      <c r="J85" s="71">
        <v>348367</v>
      </c>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282468</v>
      </c>
      <c r="J90" s="70">
        <f>J91-J92</f>
        <v>359589</v>
      </c>
      <c r="L90" s="2" t="s">
        <v>2591</v>
      </c>
    </row>
    <row r="91" spans="1:10" ht="13.5" customHeight="1">
      <c r="A91" s="383" t="s">
        <v>1139</v>
      </c>
      <c r="B91" s="383"/>
      <c r="C91" s="383"/>
      <c r="D91" s="383"/>
      <c r="E91" s="383"/>
      <c r="F91" s="383"/>
      <c r="G91" s="19">
        <v>82</v>
      </c>
      <c r="H91" s="20"/>
      <c r="I91" s="71">
        <v>282468</v>
      </c>
      <c r="J91" s="71">
        <v>359589</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77121</v>
      </c>
      <c r="J93" s="70">
        <f>J94-J95</f>
        <v>91041</v>
      </c>
      <c r="L93" s="2" t="s">
        <v>2591</v>
      </c>
    </row>
    <row r="94" spans="1:10" ht="13.5" customHeight="1">
      <c r="A94" s="383" t="s">
        <v>2640</v>
      </c>
      <c r="B94" s="383"/>
      <c r="C94" s="383"/>
      <c r="D94" s="383"/>
      <c r="E94" s="383"/>
      <c r="F94" s="383"/>
      <c r="G94" s="19">
        <v>85</v>
      </c>
      <c r="H94" s="20"/>
      <c r="I94" s="71">
        <v>77121</v>
      </c>
      <c r="J94" s="71">
        <v>91041</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751581</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v>751581</v>
      </c>
    </row>
    <row r="104" spans="1:10" ht="13.5" customHeight="1">
      <c r="A104" s="381" t="s">
        <v>2655</v>
      </c>
      <c r="B104" s="381"/>
      <c r="C104" s="381"/>
      <c r="D104" s="381"/>
      <c r="E104" s="381"/>
      <c r="F104" s="381"/>
      <c r="G104" s="19">
        <v>95</v>
      </c>
      <c r="H104" s="20"/>
      <c r="I104" s="70">
        <f>SUM(I105:I115)</f>
        <v>0</v>
      </c>
      <c r="J104" s="70">
        <f>SUM(J105:J115)</f>
        <v>367741</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v>367741</v>
      </c>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1651793</v>
      </c>
      <c r="J116" s="70">
        <f>SUM(J117:J130)</f>
        <v>2169377</v>
      </c>
    </row>
    <row r="117" spans="1:10" ht="13.5" customHeight="1">
      <c r="A117" s="383" t="s">
        <v>2193</v>
      </c>
      <c r="B117" s="383"/>
      <c r="C117" s="383"/>
      <c r="D117" s="383"/>
      <c r="E117" s="383"/>
      <c r="F117" s="383"/>
      <c r="G117" s="19">
        <v>108</v>
      </c>
      <c r="H117" s="20"/>
      <c r="I117" s="71">
        <v>16094</v>
      </c>
      <c r="J117" s="71">
        <v>4402</v>
      </c>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v>218859</v>
      </c>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743461</v>
      </c>
      <c r="J124" s="71">
        <v>851349</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454908</v>
      </c>
      <c r="J126" s="71">
        <v>458214</v>
      </c>
    </row>
    <row r="127" spans="1:10" ht="13.5" customHeight="1">
      <c r="A127" s="383" t="s">
        <v>364</v>
      </c>
      <c r="B127" s="383"/>
      <c r="C127" s="383"/>
      <c r="D127" s="383"/>
      <c r="E127" s="383"/>
      <c r="F127" s="383"/>
      <c r="G127" s="19">
        <v>118</v>
      </c>
      <c r="H127" s="20"/>
      <c r="I127" s="71">
        <v>423154</v>
      </c>
      <c r="J127" s="71">
        <v>625016</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14176</v>
      </c>
      <c r="J130" s="71">
        <v>11537</v>
      </c>
    </row>
    <row r="131" spans="1:10" ht="24.75" customHeight="1">
      <c r="A131" s="381" t="s">
        <v>1560</v>
      </c>
      <c r="B131" s="381"/>
      <c r="C131" s="381"/>
      <c r="D131" s="381"/>
      <c r="E131" s="381"/>
      <c r="F131" s="381"/>
      <c r="G131" s="19">
        <v>122</v>
      </c>
      <c r="H131" s="20"/>
      <c r="I131" s="71">
        <v>9558388</v>
      </c>
      <c r="J131" s="71">
        <v>8646678</v>
      </c>
    </row>
    <row r="132" spans="1:10" ht="13.5" customHeight="1">
      <c r="A132" s="381" t="s">
        <v>2657</v>
      </c>
      <c r="B132" s="381"/>
      <c r="C132" s="381"/>
      <c r="D132" s="381"/>
      <c r="E132" s="381"/>
      <c r="F132" s="381"/>
      <c r="G132" s="19">
        <v>123</v>
      </c>
      <c r="H132" s="20"/>
      <c r="I132" s="70">
        <f>I76+I97+I104+I116+I131</f>
        <v>25386902</v>
      </c>
      <c r="J132" s="70">
        <f>J76+J97+J104+J116+J131</f>
        <v>26203139</v>
      </c>
    </row>
    <row r="133" spans="1:10" ht="13.5" customHeight="1">
      <c r="A133" s="382" t="s">
        <v>662</v>
      </c>
      <c r="B133" s="382"/>
      <c r="C133" s="382"/>
      <c r="D133" s="382"/>
      <c r="E133" s="382"/>
      <c r="F133" s="382"/>
      <c r="G133" s="21">
        <v>124</v>
      </c>
      <c r="H133" s="22"/>
      <c r="I133" s="72">
        <v>25386902</v>
      </c>
      <c r="J133" s="72">
        <v>26203139</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17" activePane="bottomLeft" state="frozen"/>
      <selection pane="topLeft" activeCell="A1" sqref="A1"/>
      <selection pane="bottomLeft" activeCell="J20" sqref="J20"/>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31407797858; IVKOM DD</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17040935</v>
      </c>
      <c r="J8" s="84">
        <f>SUM(J9:J13)</f>
        <v>16950914</v>
      </c>
      <c r="Q8" s="2">
        <f>IF(OR(MIN(I70:J75)&lt;&gt;0,MAX(I70:J75)&lt;&gt;0),1,0)</f>
        <v>0</v>
      </c>
      <c r="R8" s="73" t="s">
        <v>2597</v>
      </c>
    </row>
    <row r="9" spans="1:10" s="2" customFormat="1" ht="13.5" customHeight="1">
      <c r="A9" s="383" t="s">
        <v>1434</v>
      </c>
      <c r="B9" s="383"/>
      <c r="C9" s="383"/>
      <c r="D9" s="383"/>
      <c r="E9" s="383"/>
      <c r="F9" s="383"/>
      <c r="G9" s="19">
        <v>126</v>
      </c>
      <c r="H9" s="20"/>
      <c r="I9" s="71">
        <v>214469</v>
      </c>
      <c r="J9" s="71">
        <v>222688</v>
      </c>
    </row>
    <row r="10" spans="1:10" s="2" customFormat="1" ht="13.5" customHeight="1">
      <c r="A10" s="383" t="s">
        <v>730</v>
      </c>
      <c r="B10" s="383"/>
      <c r="C10" s="383"/>
      <c r="D10" s="383"/>
      <c r="E10" s="383"/>
      <c r="F10" s="383"/>
      <c r="G10" s="19">
        <v>127</v>
      </c>
      <c r="H10" s="20"/>
      <c r="I10" s="71">
        <v>15235815</v>
      </c>
      <c r="J10" s="71">
        <v>15525417</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1590651</v>
      </c>
      <c r="J13" s="71">
        <v>1202809</v>
      </c>
    </row>
    <row r="14" spans="1:10" s="2" customFormat="1" ht="13.5" customHeight="1">
      <c r="A14" s="381" t="s">
        <v>1837</v>
      </c>
      <c r="B14" s="381"/>
      <c r="C14" s="381"/>
      <c r="D14" s="381"/>
      <c r="E14" s="381"/>
      <c r="F14" s="381"/>
      <c r="G14" s="19">
        <v>131</v>
      </c>
      <c r="H14" s="20"/>
      <c r="I14" s="70">
        <f>I15+I16+I20+I24+I25+I26+I29+I36</f>
        <v>17032755</v>
      </c>
      <c r="J14" s="70">
        <f>J15+J16+J20+J24+J25+J26+J29+J36</f>
        <v>16790206</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5347268</v>
      </c>
      <c r="J16" s="70">
        <f>SUM(J17:J19)</f>
        <v>4703749</v>
      </c>
    </row>
    <row r="17" spans="1:10" s="2" customFormat="1" ht="13.5" customHeight="1">
      <c r="A17" s="409" t="s">
        <v>504</v>
      </c>
      <c r="B17" s="409"/>
      <c r="C17" s="409"/>
      <c r="D17" s="409"/>
      <c r="E17" s="409"/>
      <c r="F17" s="409"/>
      <c r="G17" s="19">
        <v>134</v>
      </c>
      <c r="H17" s="20"/>
      <c r="I17" s="71">
        <v>2102820</v>
      </c>
      <c r="J17" s="71">
        <v>2400886</v>
      </c>
    </row>
    <row r="18" spans="1:10" s="2" customFormat="1" ht="13.5" customHeight="1">
      <c r="A18" s="409" t="s">
        <v>505</v>
      </c>
      <c r="B18" s="409"/>
      <c r="C18" s="409"/>
      <c r="D18" s="409"/>
      <c r="E18" s="409"/>
      <c r="F18" s="409"/>
      <c r="G18" s="19">
        <v>135</v>
      </c>
      <c r="H18" s="20"/>
      <c r="I18" s="71">
        <v>484002</v>
      </c>
      <c r="J18" s="71">
        <v>444777</v>
      </c>
    </row>
    <row r="19" spans="1:10" s="2" customFormat="1" ht="13.5" customHeight="1">
      <c r="A19" s="409" t="s">
        <v>1426</v>
      </c>
      <c r="B19" s="409"/>
      <c r="C19" s="409"/>
      <c r="D19" s="409"/>
      <c r="E19" s="409"/>
      <c r="F19" s="409"/>
      <c r="G19" s="19">
        <v>136</v>
      </c>
      <c r="H19" s="20"/>
      <c r="I19" s="71">
        <v>2760446</v>
      </c>
      <c r="J19" s="71">
        <v>1858086</v>
      </c>
    </row>
    <row r="20" spans="1:10" s="2" customFormat="1" ht="13.5" customHeight="1">
      <c r="A20" s="383" t="s">
        <v>1839</v>
      </c>
      <c r="B20" s="383"/>
      <c r="C20" s="383"/>
      <c r="D20" s="383"/>
      <c r="E20" s="383"/>
      <c r="F20" s="383"/>
      <c r="G20" s="19">
        <v>137</v>
      </c>
      <c r="H20" s="20"/>
      <c r="I20" s="70">
        <f>SUM(I21:I23)</f>
        <v>6569097</v>
      </c>
      <c r="J20" s="70">
        <f>SUM(J21:J23)</f>
        <v>6898939</v>
      </c>
    </row>
    <row r="21" spans="1:10" s="2" customFormat="1" ht="13.5" customHeight="1">
      <c r="A21" s="409" t="s">
        <v>724</v>
      </c>
      <c r="B21" s="409"/>
      <c r="C21" s="409"/>
      <c r="D21" s="409"/>
      <c r="E21" s="409"/>
      <c r="F21" s="409"/>
      <c r="G21" s="19">
        <v>138</v>
      </c>
      <c r="H21" s="20"/>
      <c r="I21" s="71">
        <v>4212147</v>
      </c>
      <c r="J21" s="71">
        <v>4445421</v>
      </c>
    </row>
    <row r="22" spans="1:10" s="2" customFormat="1" ht="13.5" customHeight="1">
      <c r="A22" s="409" t="s">
        <v>961</v>
      </c>
      <c r="B22" s="409"/>
      <c r="C22" s="409"/>
      <c r="D22" s="409"/>
      <c r="E22" s="409"/>
      <c r="F22" s="409"/>
      <c r="G22" s="19">
        <v>139</v>
      </c>
      <c r="H22" s="20"/>
      <c r="I22" s="71">
        <v>1398209</v>
      </c>
      <c r="J22" s="71">
        <v>1432002</v>
      </c>
    </row>
    <row r="23" spans="1:10" s="2" customFormat="1" ht="13.5" customHeight="1">
      <c r="A23" s="409" t="s">
        <v>962</v>
      </c>
      <c r="B23" s="409"/>
      <c r="C23" s="409"/>
      <c r="D23" s="409"/>
      <c r="E23" s="409"/>
      <c r="F23" s="409"/>
      <c r="G23" s="19">
        <v>140</v>
      </c>
      <c r="H23" s="20"/>
      <c r="I23" s="71">
        <v>958741</v>
      </c>
      <c r="J23" s="71">
        <v>1021516</v>
      </c>
    </row>
    <row r="24" spans="1:10" s="2" customFormat="1" ht="13.5" customHeight="1">
      <c r="A24" s="383" t="s">
        <v>259</v>
      </c>
      <c r="B24" s="383"/>
      <c r="C24" s="383"/>
      <c r="D24" s="383"/>
      <c r="E24" s="383"/>
      <c r="F24" s="383"/>
      <c r="G24" s="19">
        <v>141</v>
      </c>
      <c r="H24" s="20"/>
      <c r="I24" s="71">
        <v>2223309</v>
      </c>
      <c r="J24" s="71">
        <v>1979356</v>
      </c>
    </row>
    <row r="25" spans="1:10" s="2" customFormat="1" ht="13.5" customHeight="1">
      <c r="A25" s="383" t="s">
        <v>260</v>
      </c>
      <c r="B25" s="383"/>
      <c r="C25" s="383"/>
      <c r="D25" s="383"/>
      <c r="E25" s="383"/>
      <c r="F25" s="383"/>
      <c r="G25" s="19">
        <v>142</v>
      </c>
      <c r="H25" s="20"/>
      <c r="I25" s="71">
        <v>2270394</v>
      </c>
      <c r="J25" s="71">
        <v>2229529</v>
      </c>
    </row>
    <row r="26" spans="1:12" s="2" customFormat="1" ht="13.5" customHeight="1">
      <c r="A26" s="383" t="s">
        <v>1840</v>
      </c>
      <c r="B26" s="383"/>
      <c r="C26" s="383"/>
      <c r="D26" s="383"/>
      <c r="E26" s="383"/>
      <c r="F26" s="383"/>
      <c r="G26" s="19">
        <v>143</v>
      </c>
      <c r="H26" s="20"/>
      <c r="I26" s="70">
        <f>SUM(I27:I28)</f>
        <v>557194</v>
      </c>
      <c r="J26" s="70">
        <f>SUM(J27:J28)</f>
        <v>224930</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557194</v>
      </c>
      <c r="J28" s="71">
        <v>224930</v>
      </c>
      <c r="L28" s="2" t="s">
        <v>2591</v>
      </c>
    </row>
    <row r="29" spans="1:12" s="2" customFormat="1" ht="13.5" customHeight="1">
      <c r="A29" s="383" t="s">
        <v>1841</v>
      </c>
      <c r="B29" s="383"/>
      <c r="C29" s="383"/>
      <c r="D29" s="383"/>
      <c r="E29" s="383"/>
      <c r="F29" s="383"/>
      <c r="G29" s="19">
        <v>146</v>
      </c>
      <c r="H29" s="20"/>
      <c r="I29" s="70">
        <f>SUM(I30:I35)</f>
        <v>0</v>
      </c>
      <c r="J29" s="70">
        <f>SUM(J30:J35)</f>
        <v>751581</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v>751581</v>
      </c>
      <c r="L35" s="2" t="s">
        <v>2591</v>
      </c>
    </row>
    <row r="36" spans="1:10" s="2" customFormat="1" ht="13.5" customHeight="1">
      <c r="A36" s="383" t="s">
        <v>1692</v>
      </c>
      <c r="B36" s="383"/>
      <c r="C36" s="383"/>
      <c r="D36" s="383"/>
      <c r="E36" s="383"/>
      <c r="F36" s="383"/>
      <c r="G36" s="19">
        <v>153</v>
      </c>
      <c r="H36" s="20"/>
      <c r="I36" s="71">
        <v>65493</v>
      </c>
      <c r="J36" s="71">
        <v>2122</v>
      </c>
    </row>
    <row r="37" spans="1:10" s="2" customFormat="1" ht="13.5" customHeight="1">
      <c r="A37" s="381" t="s">
        <v>1842</v>
      </c>
      <c r="B37" s="381"/>
      <c r="C37" s="381"/>
      <c r="D37" s="381"/>
      <c r="E37" s="381"/>
      <c r="F37" s="381"/>
      <c r="G37" s="19">
        <v>154</v>
      </c>
      <c r="H37" s="20"/>
      <c r="I37" s="70">
        <f>SUM(I38:I47)</f>
        <v>107754</v>
      </c>
      <c r="J37" s="70">
        <f>SUM(J38:J47)</f>
        <v>138174</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107748</v>
      </c>
      <c r="J44" s="71">
        <v>138152</v>
      </c>
    </row>
    <row r="45" spans="1:10" s="2" customFormat="1" ht="13.5" customHeight="1">
      <c r="A45" s="383" t="s">
        <v>1428</v>
      </c>
      <c r="B45" s="383"/>
      <c r="C45" s="383"/>
      <c r="D45" s="383"/>
      <c r="E45" s="383"/>
      <c r="F45" s="383"/>
      <c r="G45" s="19">
        <v>162</v>
      </c>
      <c r="H45" s="20"/>
      <c r="I45" s="71">
        <v>6</v>
      </c>
      <c r="J45" s="71">
        <v>22</v>
      </c>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254</v>
      </c>
      <c r="J48" s="70">
        <f>SUM(J49:J55)</f>
        <v>7726</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254</v>
      </c>
      <c r="J51" s="71">
        <v>7714</v>
      </c>
    </row>
    <row r="52" spans="1:10" s="2" customFormat="1" ht="13.5" customHeight="1">
      <c r="A52" s="403" t="s">
        <v>1439</v>
      </c>
      <c r="B52" s="403"/>
      <c r="C52" s="403"/>
      <c r="D52" s="403"/>
      <c r="E52" s="403"/>
      <c r="F52" s="403"/>
      <c r="G52" s="19">
        <v>169</v>
      </c>
      <c r="H52" s="20"/>
      <c r="I52" s="71"/>
      <c r="J52" s="71">
        <v>12</v>
      </c>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17148689</v>
      </c>
      <c r="J60" s="70">
        <f>J8+J37+J56+J57</f>
        <v>17089088</v>
      </c>
    </row>
    <row r="61" spans="1:10" s="2" customFormat="1" ht="13.5" customHeight="1">
      <c r="A61" s="381" t="s">
        <v>1845</v>
      </c>
      <c r="B61" s="381"/>
      <c r="C61" s="381"/>
      <c r="D61" s="381"/>
      <c r="E61" s="381"/>
      <c r="F61" s="381"/>
      <c r="G61" s="19">
        <v>178</v>
      </c>
      <c r="H61" s="20"/>
      <c r="I61" s="70">
        <f>I14+I48+I58+I59</f>
        <v>17033009</v>
      </c>
      <c r="J61" s="70">
        <f>J14+J48+J58+J59</f>
        <v>16797932</v>
      </c>
    </row>
    <row r="62" spans="1:12" s="2" customFormat="1" ht="13.5" customHeight="1">
      <c r="A62" s="381" t="s">
        <v>2581</v>
      </c>
      <c r="B62" s="381"/>
      <c r="C62" s="381"/>
      <c r="D62" s="381"/>
      <c r="E62" s="381"/>
      <c r="F62" s="381"/>
      <c r="G62" s="19">
        <v>179</v>
      </c>
      <c r="H62" s="20"/>
      <c r="I62" s="70">
        <f>I60-I61</f>
        <v>115680</v>
      </c>
      <c r="J62" s="70">
        <f>J60-J61</f>
        <v>291156</v>
      </c>
      <c r="L62" s="2" t="s">
        <v>2591</v>
      </c>
    </row>
    <row r="63" spans="1:10" s="2" customFormat="1" ht="13.5" customHeight="1">
      <c r="A63" s="403" t="s">
        <v>2658</v>
      </c>
      <c r="B63" s="403"/>
      <c r="C63" s="403"/>
      <c r="D63" s="403"/>
      <c r="E63" s="403"/>
      <c r="F63" s="403"/>
      <c r="G63" s="19">
        <v>180</v>
      </c>
      <c r="H63" s="20"/>
      <c r="I63" s="70">
        <f>IF(I60&gt;I61,I60-I61,0)</f>
        <v>115680</v>
      </c>
      <c r="J63" s="70">
        <f>IF(J60&gt;J61,J60-J61,0)</f>
        <v>291156</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38559</v>
      </c>
      <c r="J65" s="71">
        <v>200115</v>
      </c>
      <c r="L65" s="2" t="s">
        <v>2591</v>
      </c>
    </row>
    <row r="66" spans="1:12" s="2" customFormat="1" ht="13.5" customHeight="1">
      <c r="A66" s="381" t="s">
        <v>2582</v>
      </c>
      <c r="B66" s="381"/>
      <c r="C66" s="381"/>
      <c r="D66" s="381"/>
      <c r="E66" s="381"/>
      <c r="F66" s="381"/>
      <c r="G66" s="19">
        <v>183</v>
      </c>
      <c r="H66" s="20"/>
      <c r="I66" s="70">
        <f>I62-I65</f>
        <v>77121</v>
      </c>
      <c r="J66" s="70">
        <f>J62-J65</f>
        <v>91041</v>
      </c>
      <c r="L66" s="2" t="s">
        <v>2591</v>
      </c>
    </row>
    <row r="67" spans="1:10" s="2" customFormat="1" ht="13.5" customHeight="1">
      <c r="A67" s="403" t="s">
        <v>779</v>
      </c>
      <c r="B67" s="403"/>
      <c r="C67" s="403"/>
      <c r="D67" s="403"/>
      <c r="E67" s="403"/>
      <c r="F67" s="403"/>
      <c r="G67" s="19">
        <v>184</v>
      </c>
      <c r="H67" s="20"/>
      <c r="I67" s="70">
        <f>IF(I66&gt;0,I66,0)</f>
        <v>77121</v>
      </c>
      <c r="J67" s="70">
        <f>IF(J66&gt;0,J66,0)</f>
        <v>91041</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J1" sqref="J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31407797858; IVKOM DD</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31407797858; IVKOM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31407797858; IVKOM DD</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31407797858; IVKOM DD</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Brankica Kušen</cp:lastModifiedBy>
  <cp:lastPrinted>2021-06-14T09:11:47Z</cp:lastPrinted>
  <dcterms:created xsi:type="dcterms:W3CDTF">2008-10-17T11:51:54Z</dcterms:created>
  <dcterms:modified xsi:type="dcterms:W3CDTF">2021-09-14T07:27:35Z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