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5"/>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2"/>
          </rPr>
          <t>Naputak:</t>
        </r>
        <r>
          <rPr>
            <sz val="8"/>
            <rFont val="Tahoma"/>
            <family val="2"/>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2"/>
          </rPr>
          <t>Naputak:</t>
        </r>
        <r>
          <rPr>
            <sz val="8"/>
            <rFont val="Tahoma"/>
            <family val="2"/>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2"/>
          </rPr>
          <t>Naputak:</t>
        </r>
        <r>
          <rPr>
            <sz val="8"/>
            <rFont val="Tahoma"/>
            <family val="2"/>
          </rPr>
          <t xml:space="preserve">
Tvrtke registrirane u trgovačkom sudu upisuju matični broj suda (devet znamenaka), ostali ne upisuju ništa.</t>
        </r>
      </text>
    </comment>
    <comment ref="A45"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2"/>
          </rPr>
          <t>Uputa:</t>
        </r>
        <r>
          <rPr>
            <sz val="8"/>
            <rFont val="Tahoma"/>
            <family val="2"/>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2"/>
          </rPr>
          <t>Uputa:</t>
        </r>
        <r>
          <rPr>
            <sz val="8"/>
            <rFont val="Tahoma"/>
            <family val="2"/>
          </rPr>
          <t xml:space="preserve">
Upisuje se adresa službenih internet stranica obveznika, bez http:// - samo www.stranica.hr).</t>
        </r>
      </text>
    </comment>
    <comment ref="A51"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H37"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2"/>
          </rPr>
          <t>Uputa:</t>
        </r>
        <r>
          <rPr>
            <sz val="8"/>
            <rFont val="Tahoma"/>
            <family val="2"/>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2"/>
          </rPr>
          <t>Uputa:</t>
        </r>
        <r>
          <rPr>
            <sz val="8"/>
            <rFont val="Tahoma"/>
            <family val="2"/>
          </rPr>
          <t xml:space="preserve">
Opis značenja svake šifre možete naći na radnom listu Sifre</t>
        </r>
      </text>
    </comment>
    <comment ref="A63"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2"/>
          </rPr>
          <t>Naputak:</t>
        </r>
        <r>
          <rPr>
            <sz val="8"/>
            <rFont val="Tahoma"/>
            <family val="2"/>
          </rPr>
          <t xml:space="preserve">
Od 1. siječnja 2010. godine upis OIB-a obvezan je za sve obveznike i za sve svrhe predaje.</t>
        </r>
      </text>
    </comment>
    <comment ref="F14"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<sst xmlns="http://schemas.openxmlformats.org/spreadsheetml/2006/main" count="4927" uniqueCount="2988">
  <si>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</si>
  <si>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</si>
  <si>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</si>
  <si>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</si>
  <si>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</si>
  <si>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</si>
  <si>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</si>
  <si>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</si>
  <si>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</si>
  <si>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</si>
  <si>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</si>
  <si>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</si>
  <si>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</si>
  <si>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</si>
  <si>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</si>
  <si>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</si>
  <si>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</si>
  <si>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</si>
  <si>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</si>
  <si>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</si>
  <si>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</si>
  <si>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</si>
  <si>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</si>
  <si>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</si>
  <si>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</si>
  <si>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</si>
  <si>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</si>
  <si>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</si>
  <si>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</si>
  <si>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</si>
  <si>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</si>
  <si>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</si>
  <si>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</si>
  <si>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</si>
  <si>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</si>
  <si>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</si>
  <si>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</si>
  <si>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</si>
  <si>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</si>
  <si>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</si>
  <si>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</si>
  <si>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</si>
  <si>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</si>
  <si>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</si>
  <si>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</si>
  <si>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</si>
  <si>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</si>
  <si>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</si>
  <si>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</si>
  <si>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</si>
  <si>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</si>
  <si>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</si>
  <si>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</si>
  <si>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</si>
  <si>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</si>
  <si>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</si>
  <si>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</si>
  <si>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</si>
  <si>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</si>
  <si>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</si>
  <si>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</si>
  <si>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</si>
  <si>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</si>
  <si>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</si>
  <si>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</si>
  <si>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</si>
  <si>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</si>
  <si>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</si>
  <si>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</si>
  <si>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</si>
  <si>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</si>
  <si>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</si>
  <si>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</si>
  <si>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</si>
  <si>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</si>
  <si>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</si>
  <si>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</si>
  <si>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</si>
  <si>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</si>
  <si>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</si>
  <si>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</si>
  <si>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</si>
  <si>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</si>
  <si>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</si>
  <si>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</si>
  <si>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</si>
  <si>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</si>
  <si>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</si>
  <si>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</si>
  <si>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</si>
  <si>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</si>
  <si>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</si>
  <si>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</si>
  <si>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</si>
  <si>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</si>
  <si>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</si>
  <si>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</si>
  <si>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</si>
  <si>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</si>
  <si>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</si>
  <si>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</si>
  <si>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</si>
  <si>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</si>
  <si>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</si>
  <si>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</si>
  <si>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</si>
  <si>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</si>
  <si>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</si>
  <si>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</si>
  <si>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</si>
  <si>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</si>
  <si>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</si>
  <si>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</si>
  <si>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</si>
  <si>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</si>
  <si>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</si>
  <si>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</si>
  <si>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</si>
  <si>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</si>
  <si>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</si>
  <si>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</si>
  <si>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</si>
  <si>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</si>
  <si>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</si>
  <si>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</si>
  <si>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</si>
  <si>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</si>
  <si>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</si>
  <si>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</si>
  <si>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</si>
  <si>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</si>
  <si>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</si>
  <si>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</si>
  <si>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</si>
  <si>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</si>
  <si>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</si>
  <si>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</si>
  <si>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</si>
  <si>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</si>
  <si>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</si>
  <si>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</si>
  <si>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</si>
  <si>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</si>
  <si>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</si>
  <si>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</si>
  <si>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</si>
  <si>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</si>
  <si>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</si>
  <si>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</si>
  <si>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</si>
  <si>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</si>
  <si>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</si>
  <si>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</si>
  <si>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</si>
  <si>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</si>
  <si>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</si>
  <si>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</si>
  <si>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</si>
  <si>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</si>
  <si>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</si>
  <si>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</si>
  <si>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</si>
  <si>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</si>
  <si>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</si>
  <si>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</si>
  <si>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</si>
  <si>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</si>
  <si>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</si>
  <si>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</si>
  <si>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</si>
  <si>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</si>
  <si>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</si>
  <si>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</si>
  <si>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</si>
  <si>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</si>
  <si>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</si>
  <si>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</si>
  <si>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</si>
  <si>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</si>
  <si>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</si>
  <si>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</si>
  <si>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</si>
  <si>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</si>
  <si>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</si>
  <si>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</si>
  <si>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</si>
  <si>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</si>
  <si>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</si>
  <si>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</si>
  <si>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</si>
  <si>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</si>
  <si>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</si>
  <si>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</si>
  <si>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</si>
  <si>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</si>
  <si>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</si>
  <si>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</si>
  <si>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</si>
  <si>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</si>
  <si>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</si>
  <si>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</si>
  <si>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</si>
  <si>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</si>
  <si>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</si>
  <si>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</si>
  <si>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</si>
  <si>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</si>
  <si>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</si>
  <si>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</si>
  <si>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</si>
  <si>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</si>
  <si>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</si>
  <si>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</si>
  <si>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</si>
  <si>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</si>
  <si>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</si>
  <si>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</si>
  <si>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</si>
  <si>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</si>
  <si>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</si>
  <si>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</si>
  <si>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</si>
  <si>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</si>
  <si>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</si>
  <si>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</si>
  <si>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</si>
  <si>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</si>
  <si>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</si>
  <si>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</si>
  <si>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</si>
  <si>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</si>
  <si>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</si>
  <si>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</si>
  <si>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</si>
  <si>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</si>
  <si>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</si>
  <si>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</si>
  <si>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</si>
  <si>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</si>
  <si>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</si>
  <si>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</si>
  <si>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</si>
  <si>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</si>
  <si>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</si>
  <si>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</si>
  <si>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</si>
  <si>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</si>
  <si>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</si>
  <si>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</si>
  <si>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</si>
  <si>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</si>
  <si>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</si>
  <si>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</si>
  <si>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</si>
  <si>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</si>
  <si>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</si>
  <si>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</si>
  <si>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</si>
  <si>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</si>
  <si>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</si>
  <si>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</si>
  <si>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</si>
  <si>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</si>
  <si>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</si>
  <si>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</si>
  <si>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</si>
  <si>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</si>
  <si>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</si>
  <si>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</si>
  <si>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</si>
  <si>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</si>
  <si>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</si>
  <si>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</si>
  <si>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</si>
  <si>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</si>
  <si>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</si>
  <si>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</si>
  <si>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</si>
  <si>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</si>
  <si>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</si>
  <si>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</si>
  <si>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</si>
  <si>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</si>
  <si>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</si>
  <si>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</si>
  <si>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</si>
  <si>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</si>
  <si>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</si>
  <si>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</si>
  <si>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</si>
  <si>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</si>
  <si>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</si>
  <si>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</si>
  <si>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</si>
  <si>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</si>
  <si>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</si>
  <si>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</si>
  <si>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</si>
  <si>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</si>
  <si>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</si>
  <si>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</si>
  <si>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</si>
  <si>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</si>
  <si>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</si>
  <si>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</si>
  <si>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</si>
  <si>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</si>
  <si>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</si>
  <si>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</si>
  <si>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</si>
  <si>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</si>
  <si>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</si>
  <si>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</si>
  <si>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</si>
  <si>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</si>
  <si>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</si>
  <si>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</si>
  <si>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</si>
  <si>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</si>
  <si>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</si>
  <si>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</si>
  <si>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</si>
  <si>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</si>
  <si>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</si>
  <si>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</si>
  <si>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</si>
  <si>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</si>
  <si>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</si>
  <si>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</si>
  <si>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</si>
  <si>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</si>
  <si>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</si>
  <si>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</si>
  <si>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</si>
  <si>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</si>
  <si>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</si>
  <si>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</si>
  <si>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</si>
  <si>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</si>
  <si>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</si>
  <si>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</si>
  <si>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</si>
  <si>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</si>
  <si>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</si>
  <si>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</si>
  <si>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</si>
  <si>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</si>
  <si>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</si>
  <si>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</si>
  <si>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</si>
  <si>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</si>
  <si>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</si>
  <si>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</si>
  <si>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</si>
  <si>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</si>
  <si>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</si>
  <si>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</si>
  <si>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</si>
  <si>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</si>
  <si>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</si>
  <si>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</si>
  <si>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</si>
  <si>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</si>
  <si>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</si>
  <si>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</si>
  <si>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</si>
  <si>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</si>
  <si>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</si>
  <si>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</si>
  <si>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</si>
  <si>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</si>
  <si>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</si>
  <si>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</si>
  <si>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</si>
  <si>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</si>
  <si>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</si>
  <si>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</si>
  <si>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</si>
  <si>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</si>
  <si>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</si>
  <si>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</si>
  <si>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</si>
  <si>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</si>
  <si>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</si>
  <si>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</si>
  <si>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</si>
  <si>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</si>
  <si>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</si>
  <si>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</si>
  <si>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</si>
  <si>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</si>
  <si>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</si>
  <si>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</si>
  <si>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</si>
  <si>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</si>
  <si>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</si>
  <si>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</si>
  <si>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</si>
  <si>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</si>
  <si>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</si>
  <si>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</si>
  <si>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</si>
  <si>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</si>
  <si>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</si>
  <si>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</si>
  <si>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</si>
  <si>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</si>
  <si>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</si>
  <si>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</si>
  <si>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</si>
  <si>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</si>
  <si>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</si>
  <si>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</si>
  <si>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</si>
  <si>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</si>
  <si>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</si>
  <si>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</si>
  <si>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</si>
  <si>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</si>
  <si>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</si>
  <si>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</si>
  <si>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</si>
  <si>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</si>
  <si>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</si>
  <si>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</si>
  <si>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</si>
  <si>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</si>
  <si>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</si>
  <si>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</si>
  <si>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</si>
  <si>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</si>
  <si>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</si>
  <si>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</si>
  <si>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</si>
  <si>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</si>
  <si>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</si>
  <si>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</si>
  <si>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</si>
  <si>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</si>
  <si>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</si>
  <si>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</si>
  <si>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</si>
  <si>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</si>
  <si>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</si>
  <si>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</si>
  <si>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</si>
  <si>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</si>
  <si>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</si>
  <si>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</si>
  <si>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</si>
  <si>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</si>
  <si>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</si>
  <si>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</si>
  <si>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</si>
  <si>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</si>
  <si>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</si>
  <si>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</si>
  <si>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</si>
  <si>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</si>
  <si>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</si>
  <si>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</si>
  <si>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</si>
  <si>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</si>
  <si>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</si>
  <si>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</si>
  <si>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</si>
  <si>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</si>
  <si>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</si>
  <si>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</si>
  <si>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</si>
  <si>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</si>
  <si>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</si>
  <si>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</si>
  <si>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</si>
  <si>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</si>
  <si>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</si>
  <si>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</si>
  <si>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</si>
  <si>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</si>
  <si>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</si>
  <si>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</si>
  <si>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</si>
  <si>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</si>
  <si>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</si>
  <si>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</si>
  <si>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</si>
  <si>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</si>
  <si>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</si>
  <si>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</si>
  <si>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</si>
  <si>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</si>
  <si>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</si>
  <si>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</si>
  <si>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</si>
  <si>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</si>
  <si>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</si>
  <si>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</si>
  <si>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</si>
  <si>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</si>
  <si>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</si>
  <si>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</si>
  <si>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</si>
  <si>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</si>
  <si>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</si>
  <si>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</si>
  <si>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</si>
  <si>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</si>
  <si>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</si>
  <si>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</si>
  <si>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</si>
  <si>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</si>
  <si>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</si>
  <si>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</si>
  <si>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</si>
  <si>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</si>
  <si>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</si>
  <si>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</si>
  <si>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</si>
  <si>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</si>
  <si>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</si>
  <si>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</si>
  <si>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</si>
  <si>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</si>
  <si>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</si>
  <si>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</si>
  <si>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</si>
  <si>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</si>
  <si>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</si>
  <si>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</si>
  <si>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</si>
  <si>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</si>
  <si>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</si>
  <si>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</si>
  <si>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</si>
  <si>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</si>
  <si>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</si>
  <si>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</si>
  <si>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</si>
  <si>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</si>
  <si>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</si>
  <si>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</si>
  <si>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</si>
  <si>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</si>
  <si>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</si>
  <si>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</si>
  <si>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</si>
  <si>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</si>
  <si>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</si>
  <si>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</si>
  <si>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</si>
  <si>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</si>
  <si>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</si>
  <si>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</si>
  <si>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</si>
  <si>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</si>
  <si>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</si>
  <si>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</si>
  <si>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</si>
  <si>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</si>
  <si>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</si>
  <si>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</si>
  <si>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</si>
  <si>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</si>
  <si>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</si>
  <si>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</si>
  <si>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</si>
  <si>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</si>
  <si>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</si>
  <si>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</si>
  <si>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</si>
  <si>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</si>
  <si>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</si>
  <si>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</si>
  <si>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</si>
  <si>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</si>
  <si>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</si>
  <si>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</si>
  <si>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</si>
  <si>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</si>
  <si>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</si>
  <si>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</si>
  <si>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</si>
  <si>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</si>
  <si>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</si>
  <si>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</si>
  <si>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</si>
  <si>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</si>
  <si>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</si>
  <si>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</si>
  <si>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</si>
  <si>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</si>
  <si>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</si>
  <si>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</si>
  <si>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</si>
  <si>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</si>
  <si>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</si>
  <si>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</si>
  <si>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</si>
  <si>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</si>
  <si>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</si>
  <si>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</si>
  <si>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</si>
  <si>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</si>
  <si>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</si>
  <si>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</si>
  <si>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</si>
  <si>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</si>
  <si>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</si>
  <si>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</si>
  <si>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</si>
  <si>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</si>
  <si>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</si>
  <si>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</si>
  <si>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</si>
  <si>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</si>
  <si>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</si>
  <si>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</si>
  <si>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</si>
  <si>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</si>
  <si>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</si>
  <si>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</si>
  <si>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</si>
  <si>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</si>
  <si>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</si>
  <si>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</si>
  <si>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</si>
  <si>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</si>
  <si>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</si>
  <si>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</si>
  <si>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</si>
  <si>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</si>
  <si>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</si>
  <si>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</si>
  <si>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</si>
  <si>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</si>
  <si>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</si>
  <si>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</si>
  <si>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</si>
  <si>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</si>
  <si>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</si>
  <si>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</si>
  <si>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</si>
  <si>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</si>
  <si>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</si>
  <si>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</si>
  <si>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</si>
  <si>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</si>
  <si>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</si>
  <si>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</si>
  <si>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</si>
  <si>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</si>
  <si>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</si>
  <si>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</si>
  <si>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</si>
  <si>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</si>
  <si>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</si>
  <si>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</si>
  <si>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</si>
  <si>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</si>
  <si>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</si>
  <si>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</si>
  <si>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</si>
  <si>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</si>
  <si>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</si>
  <si>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</si>
  <si>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</si>
  <si>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</si>
  <si>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</si>
  <si>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</si>
  <si>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</si>
  <si>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</si>
  <si>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</si>
  <si>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</si>
  <si>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</si>
  <si>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</si>
  <si>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</si>
  <si>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</si>
  <si>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</si>
  <si>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</si>
  <si>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</si>
  <si>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</si>
  <si>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</si>
  <si>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</si>
  <si>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</si>
  <si>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</si>
  <si>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</si>
  <si>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</si>
  <si>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</si>
  <si>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</si>
  <si>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</si>
  <si>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</si>
  <si>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</si>
  <si>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</si>
  <si>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</si>
  <si>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</si>
  <si>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</si>
  <si>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</si>
  <si>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</si>
  <si>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</si>
  <si>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</si>
  <si>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</si>
  <si>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</si>
  <si>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</si>
  <si>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</si>
  <si>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</si>
  <si>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</si>
  <si>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</si>
  <si>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</si>
  <si>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</si>
  <si>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</si>
  <si>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</si>
  <si>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</si>
  <si>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</si>
  <si>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</si>
  <si>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</si>
  <si>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</si>
  <si>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</si>
  <si>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</si>
  <si>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</si>
  <si>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</si>
  <si>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</si>
  <si>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</si>
  <si>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</si>
  <si>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</si>
  <si>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</si>
  <si>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</si>
  <si>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</si>
  <si>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</si>
  <si>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</si>
  <si>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</si>
  <si>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</si>
  <si>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</si>
  <si>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</si>
  <si>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</si>
  <si>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</si>
  <si>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</si>
  <si>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</si>
  <si>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</si>
  <si>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</si>
  <si>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</si>
  <si>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</si>
  <si>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</si>
  <si>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</si>
  <si>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</si>
  <si>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</si>
  <si>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</si>
  <si>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</si>
  <si>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</si>
  <si>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</si>
  <si>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</si>
  <si>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</si>
  <si>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</si>
  <si>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</si>
  <si>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</si>
  <si>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</si>
  <si>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</si>
  <si>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</si>
  <si>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</si>
  <si>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</si>
  <si>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</si>
  <si>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</si>
  <si>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</si>
  <si>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</si>
  <si>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</si>
  <si>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</si>
  <si>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</si>
  <si>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</si>
  <si>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</si>
  <si>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</si>
  <si>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</si>
  <si>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</si>
  <si>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</si>
  <si>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</si>
  <si>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</si>
  <si>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</si>
  <si>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</si>
  <si>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</si>
  <si>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</si>
  <si>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</si>
  <si>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</si>
  <si>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</si>
  <si>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</si>
  <si>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</si>
  <si>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</si>
  <si>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</si>
  <si>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</si>
  <si>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</si>
  <si>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</si>
  <si>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</si>
  <si>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</si>
  <si>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</si>
  <si>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</si>
  <si>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</si>
  <si>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</si>
  <si>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</si>
  <si>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</si>
  <si>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</si>
  <si>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</si>
  <si>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</si>
  <si>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</si>
  <si>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</si>
  <si>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</si>
  <si>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</si>
  <si>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</si>
  <si>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</si>
  <si>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</si>
  <si>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</si>
  <si>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</si>
  <si>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</si>
  <si>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</si>
  <si>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</si>
  <si>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</si>
  <si>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</si>
  <si>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</si>
  <si>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</si>
  <si>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</si>
  <si>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</si>
  <si>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</si>
  <si>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</si>
  <si>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</si>
  <si>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</si>
  <si>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</si>
  <si>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</si>
  <si>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</si>
  <si>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</si>
  <si>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</si>
  <si>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</si>
  <si>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</si>
  <si>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</si>
  <si>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</si>
  <si>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</si>
  <si>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</si>
  <si>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</si>
  <si>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</si>
  <si>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</si>
  <si>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</si>
  <si>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</si>
  <si>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</si>
  <si>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</si>
  <si>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</si>
  <si>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</si>
  <si>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</si>
  <si>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</si>
  <si>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</si>
  <si>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</si>
  <si>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</si>
  <si>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</si>
  <si>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</si>
  <si>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</si>
  <si>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</si>
  <si>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</si>
  <si>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</si>
  <si>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</si>
  <si>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</si>
  <si>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</si>
  <si>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</si>
  <si>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</si>
  <si>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</si>
  <si>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</si>
  <si>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</si>
  <si>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</si>
  <si>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</si>
  <si>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</si>
  <si>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</si>
  <si>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</si>
  <si>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</si>
  <si>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</si>
  <si>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</si>
  <si>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</si>
  <si>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</si>
  <si>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</si>
  <si>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</si>
  <si>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</si>
  <si>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</si>
  <si>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</si>
  <si>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</si>
  <si>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</si>
  <si>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</si>
  <si>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</si>
  <si>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</si>
  <si>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</si>
  <si>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</si>
  <si>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</si>
  <si>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</si>
  <si>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</si>
  <si>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</si>
  <si>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</si>
  <si>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</si>
  <si>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</si>
  <si>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</si>
  <si>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</si>
  <si>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</si>
  <si>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</si>
  <si>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</si>
  <si>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</si>
  <si>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</si>
  <si>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</si>
  <si>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</si>
  <si>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</si>
  <si>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</si>
  <si>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</si>
  <si>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</si>
  <si>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</si>
  <si>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</si>
  <si>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</si>
  <si>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</si>
  <si>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</si>
  <si>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</si>
  <si>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</si>
  <si>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</si>
  <si>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</si>
  <si>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</si>
  <si>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</si>
  <si>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</si>
  <si>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</si>
  <si>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</si>
  <si>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</si>
  <si>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</si>
  <si>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</si>
  <si>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</si>
  <si>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</si>
  <si>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</si>
  <si>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</si>
  <si>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</si>
  <si>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</si>
  <si>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</si>
  <si>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</si>
  <si>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</si>
  <si>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</si>
  <si>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</si>
  <si>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</si>
  <si>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</si>
  <si>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</si>
  <si>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</si>
  <si>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</si>
  <si>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</si>
  <si>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</si>
  <si>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</si>
  <si>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</si>
  <si>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</si>
  <si>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</si>
  <si>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</si>
  <si>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</si>
  <si>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</si>
  <si>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</si>
  <si>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</si>
  <si>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</si>
  <si>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</si>
  <si>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</si>
  <si>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</si>
  <si>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</si>
  <si>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</si>
  <si>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</si>
  <si>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</si>
  <si>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</si>
  <si>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</si>
  <si>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</si>
  <si>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</si>
  <si>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</si>
  <si>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</si>
  <si>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</si>
  <si>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</si>
  <si>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</si>
  <si>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</si>
  <si>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</si>
  <si>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</si>
  <si>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</si>
  <si>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</si>
  <si>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</si>
  <si>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</si>
  <si>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</si>
  <si>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</si>
  <si>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</si>
  <si>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</si>
  <si>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</si>
  <si>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</si>
  <si>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</si>
  <si>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</si>
  <si>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</si>
  <si>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</si>
  <si>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</si>
  <si>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</si>
  <si>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</si>
  <si>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</si>
  <si>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</si>
  <si>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</si>
  <si>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</si>
  <si>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</si>
  <si>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</si>
  <si>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</si>
  <si>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</si>
  <si>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</si>
  <si>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</si>
  <si>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</si>
  <si>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</si>
  <si>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</si>
  <si>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</si>
  <si>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</si>
  <si>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</si>
  <si>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</si>
  <si>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</si>
  <si>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</si>
  <si>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</si>
  <si>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</si>
  <si>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</si>
  <si>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</si>
  <si>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</si>
  <si>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</si>
  <si>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</si>
  <si>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</si>
  <si>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</si>
  <si>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</si>
  <si>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</si>
  <si>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</si>
  <si>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</si>
  <si>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</si>
  <si>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</si>
  <si>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</si>
  <si>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</si>
  <si>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</si>
  <si>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</si>
  <si>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</si>
  <si>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</si>
  <si>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</si>
  <si>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</si>
  <si>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</si>
  <si>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</si>
  <si>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</si>
  <si>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</si>
  <si>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</si>
  <si>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</si>
  <si>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</si>
  <si>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</si>
  <si>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</si>
  <si>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</si>
  <si>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</si>
  <si>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</si>
  <si>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</si>
  <si>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</si>
  <si>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</si>
  <si>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</si>
  <si>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</si>
  <si>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</si>
  <si>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</si>
  <si>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</si>
  <si>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</si>
  <si>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</si>
  <si>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</si>
  <si>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</si>
  <si>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</si>
  <si>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</si>
  <si>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</si>
  <si>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</si>
  <si>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</si>
  <si>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</si>
  <si>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</si>
  <si>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</si>
  <si>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</si>
  <si>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</si>
  <si>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</si>
  <si>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</si>
  <si>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</si>
  <si>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</si>
  <si>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</si>
  <si>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</si>
  <si>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</si>
  <si>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</si>
  <si>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</si>
  <si>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</si>
  <si>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</si>
  <si>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</si>
  <si>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</si>
  <si>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</si>
  <si>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</si>
  <si>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</si>
  <si>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</si>
  <si>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</si>
  <si>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</si>
  <si>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</si>
  <si>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</si>
  <si>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</si>
  <si>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</si>
  <si>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</si>
  <si>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</si>
  <si>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</si>
  <si>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</si>
  <si>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</si>
  <si>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</si>
  <si>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</si>
  <si>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</si>
  <si>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</si>
  <si>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</si>
  <si>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</si>
  <si>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</si>
  <si>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</si>
  <si>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</si>
  <si>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</si>
  <si>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</si>
  <si>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</si>
  <si>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</si>
  <si>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</si>
  <si>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</si>
  <si>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</si>
  <si>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</si>
  <si>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</si>
  <si>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</si>
  <si>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</si>
  <si>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</si>
  <si>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</si>
  <si>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</si>
  <si>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</si>
  <si>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</si>
  <si>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</si>
  <si>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</si>
  <si>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</si>
  <si>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</si>
  <si>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</si>
  <si>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</si>
  <si>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</si>
  <si>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</si>
  <si>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</si>
  <si>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</si>
  <si>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</si>
  <si>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</si>
  <si>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</si>
  <si>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</si>
  <si>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</si>
  <si>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</si>
  <si>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</si>
  <si>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</si>
  <si>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</si>
  <si>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</si>
  <si>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</si>
  <si>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</si>
  <si>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</si>
  <si>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</si>
  <si>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</si>
  <si>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</si>
  <si>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</si>
  <si>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</si>
  <si>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</si>
  <si>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</si>
  <si>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</si>
  <si>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</si>
  <si>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</si>
  <si>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</si>
  <si>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</si>
  <si>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</si>
  <si>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</si>
  <si>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</si>
  <si>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</si>
  <si>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</si>
  <si>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</si>
  <si>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</si>
  <si>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</si>
  <si>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</si>
  <si>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</si>
  <si>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</si>
  <si>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</si>
  <si>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</si>
  <si>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</si>
  <si>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</si>
  <si>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</si>
  <si>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</si>
  <si>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</si>
  <si>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</si>
  <si>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</si>
  <si>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</si>
  <si>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</si>
  <si>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</si>
  <si>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</si>
  <si>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</si>
  <si>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</si>
  <si>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</si>
  <si>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</si>
  <si>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</si>
  <si>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</si>
  <si>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</si>
  <si>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</si>
  <si>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</si>
  <si>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</si>
  <si>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</si>
  <si>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</si>
  <si>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</si>
  <si>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</si>
  <si>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</si>
  <si>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</si>
  <si>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</si>
  <si>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</si>
  <si>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</si>
  <si>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</si>
  <si>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</si>
  <si>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</si>
  <si>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</si>
  <si>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</si>
  <si>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</si>
  <si>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</si>
  <si>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</si>
  <si>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</si>
  <si>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</si>
  <si>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</si>
  <si>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</si>
  <si>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</si>
  <si>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</si>
  <si>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</si>
  <si>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</si>
  <si>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</si>
  <si>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</si>
  <si>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</si>
  <si>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</si>
  <si>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</si>
  <si>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</si>
  <si>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</si>
  <si>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</si>
  <si>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</si>
  <si>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</si>
  <si>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</si>
  <si>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</si>
  <si>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</si>
  <si>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</si>
  <si>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</si>
  <si>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</si>
  <si>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</si>
  <si>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</si>
  <si>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</si>
  <si>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</si>
  <si>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</si>
  <si>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</si>
  <si>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</si>
  <si>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</si>
  <si>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</si>
  <si>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</si>
  <si>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</si>
  <si>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</si>
  <si>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</si>
  <si>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</si>
  <si>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</si>
  <si>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</si>
  <si>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</si>
  <si>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</si>
  <si>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</si>
  <si>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</si>
  <si>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</si>
  <si>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</si>
  <si>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</si>
  <si>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</si>
  <si>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</si>
  <si>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</si>
  <si>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</si>
  <si>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</si>
  <si>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</si>
  <si>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</si>
  <si>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</si>
  <si>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</si>
  <si>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</si>
  <si>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</si>
  <si>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</si>
  <si>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</si>
  <si>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</si>
  <si>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</si>
  <si>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</si>
  <si>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</si>
  <si>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</si>
  <si>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</si>
  <si>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</si>
  <si>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</si>
  <si>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</si>
  <si>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</si>
  <si>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</si>
  <si>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</si>
  <si>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</si>
  <si>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</si>
  <si>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</si>
  <si>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</si>
  <si>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</si>
  <si>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</si>
  <si>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</si>
  <si>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</si>
  <si>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</si>
  <si>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</si>
  <si>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</si>
  <si>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</si>
  <si>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</si>
  <si>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</si>
  <si>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</si>
  <si>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</si>
  <si>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</si>
  <si>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</si>
  <si>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</si>
  <si>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</si>
  <si>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</si>
  <si>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</si>
  <si>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</si>
  <si>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</si>
  <si>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</si>
  <si>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</si>
  <si>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</si>
  <si>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</si>
  <si>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</si>
  <si>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</si>
  <si>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</si>
  <si>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</si>
  <si>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</si>
  <si>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</si>
  <si>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</si>
  <si>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</si>
  <si>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</si>
  <si>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</si>
  <si>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</si>
  <si>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</si>
  <si>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</si>
  <si>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</si>
  <si>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</si>
  <si>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</si>
  <si>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</si>
  <si>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</si>
  <si>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</si>
  <si>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</si>
  <si>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</si>
  <si>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</si>
  <si>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</si>
  <si>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</si>
  <si>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</si>
  <si>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</si>
  <si>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</si>
  <si>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</si>
  <si>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</si>
  <si>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</si>
  <si>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</si>
  <si>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</si>
  <si>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</si>
  <si>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</si>
  <si>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</si>
  <si>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</si>
  <si>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</si>
  <si>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</si>
  <si>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</si>
  <si>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</si>
  <si>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</si>
  <si>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</si>
  <si>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</si>
  <si>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</si>
  <si>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</si>
  <si>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</si>
  <si>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</si>
  <si>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</si>
  <si>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</si>
  <si>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</si>
  <si>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</si>
  <si>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</si>
  <si>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</si>
  <si>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</si>
  <si>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</si>
  <si>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</si>
  <si>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</si>
  <si>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</si>
  <si>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</si>
  <si>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</si>
  <si>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</si>
  <si>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</si>
  <si>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</si>
  <si>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</si>
  <si>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</si>
  <si>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</si>
  <si>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</si>
  <si>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</si>
  <si>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</si>
  <si>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</si>
  <si>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</si>
  <si>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</si>
  <si>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</si>
  <si>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</si>
  <si>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</si>
  <si>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</si>
  <si>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</si>
  <si>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</si>
  <si>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</si>
  <si>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</si>
  <si>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</si>
  <si>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</si>
  <si>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</si>
  <si>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</si>
  <si>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</si>
  <si>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</si>
  <si>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</si>
  <si>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</si>
  <si>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</si>
  <si>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</si>
  <si>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</si>
  <si>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</si>
  <si>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</si>
  <si>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</si>
  <si>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</si>
  <si>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</si>
  <si>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</si>
  <si>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</si>
  <si>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</si>
  <si>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</si>
  <si>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</si>
  <si>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</si>
  <si>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</si>
  <si>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</si>
  <si>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</si>
  <si>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</si>
  <si>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</si>
  <si>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</si>
  <si>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</si>
  <si>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</si>
  <si>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</si>
  <si>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</si>
  <si>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</si>
  <si>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</si>
  <si>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</si>
  <si>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</si>
  <si>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</si>
  <si>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</si>
  <si>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</si>
  <si>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</si>
  <si>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</si>
  <si>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</si>
  <si>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</si>
  <si>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</si>
  <si>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</si>
  <si>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</si>
  <si>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</si>
  <si>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</si>
  <si>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</si>
  <si>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</si>
  <si>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</si>
  <si>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</si>
  <si>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</si>
  <si>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</si>
  <si>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</si>
  <si>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</si>
  <si>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</si>
  <si>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</si>
  <si>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</si>
  <si>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</si>
  <si>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</si>
  <si>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</si>
  <si>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</si>
  <si>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</si>
  <si>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</si>
  <si>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</si>
  <si>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</si>
  <si>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</si>
  <si>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</si>
  <si>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</si>
  <si>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</si>
  <si>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</si>
  <si>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</si>
  <si>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</si>
  <si>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</si>
  <si>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</si>
  <si>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</si>
  <si>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</si>
  <si>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</si>
  <si>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</si>
  <si>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</si>
  <si>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</si>
  <si>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</si>
  <si>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</si>
  <si>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</si>
  <si>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</si>
  <si>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</si>
  <si>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</si>
  <si>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</si>
  <si>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</si>
  <si>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</si>
  <si>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</si>
  <si>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</si>
  <si>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</si>
  <si>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</si>
  <si>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</si>
  <si>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</si>
  <si>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</si>
  <si>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</si>
  <si>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</si>
  <si>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</si>
  <si>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</si>
  <si>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</si>
  <si>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</si>
  <si>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</si>
  <si>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</si>
  <si>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</si>
  <si>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</si>
  <si>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</si>
  <si>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</si>
  <si>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</si>
  <si>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</si>
  <si>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</si>
  <si>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</si>
  <si>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</si>
  <si>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</si>
  <si>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</si>
  <si>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</si>
  <si>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</si>
  <si>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</si>
  <si>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</si>
  <si>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</si>
  <si>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</si>
  <si>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</si>
  <si>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</si>
  <si>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</si>
  <si>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</si>
  <si>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</si>
  <si>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</si>
  <si>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</si>
  <si>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</si>
  <si>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</si>
  <si>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</si>
  <si>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</si>
  <si>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</si>
  <si>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</si>
  <si>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</si>
  <si>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</si>
  <si>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</si>
  <si>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</si>
  <si>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</si>
  <si>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</si>
  <si>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</si>
  <si>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</si>
  <si>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</si>
  <si>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</si>
  <si>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</si>
  <si>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</si>
  <si>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</si>
  <si>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</si>
  <si>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</si>
  <si>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</si>
  <si>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</si>
  <si>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</si>
  <si>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</si>
  <si>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</si>
  <si>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</si>
  <si>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</si>
  <si>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</si>
  <si>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</si>
  <si>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</si>
  <si>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</si>
  <si>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</si>
  <si>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</si>
  <si>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</si>
  <si>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</si>
  <si>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</si>
  <si>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</si>
  <si>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</si>
  <si>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</si>
  <si>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</si>
  <si>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</si>
  <si>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</si>
  <si>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</si>
  <si>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</si>
  <si>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</si>
  <si>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</si>
  <si>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</si>
  <si>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</si>
  <si>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</si>
  <si>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</si>
  <si>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</si>
  <si>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</si>
  <si>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</si>
  <si>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</si>
  <si>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</si>
  <si>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</si>
  <si>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</si>
  <si>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</si>
  <si>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</si>
  <si>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</si>
  <si>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</si>
  <si>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</si>
  <si>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</si>
  <si>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</si>
  <si>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</si>
  <si>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</si>
  <si>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</si>
  <si>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</si>
  <si>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</si>
  <si>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</si>
  <si>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</si>
  <si>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</si>
  <si>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</si>
  <si>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</si>
  <si>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</si>
  <si>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</si>
  <si>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</si>
  <si>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</si>
  <si>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</si>
  <si>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</si>
  <si>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</si>
  <si>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</si>
  <si>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</si>
  <si>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</si>
  <si>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</si>
  <si>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</si>
  <si>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</si>
  <si>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</si>
  <si>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</si>
  <si>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</si>
  <si>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</si>
  <si>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</si>
  <si>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</si>
  <si>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</si>
  <si>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</si>
  <si>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</si>
  <si>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</si>
  <si>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</si>
  <si>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</si>
  <si>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</si>
  <si>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</si>
  <si>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</si>
  <si>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</si>
  <si>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</si>
  <si>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</si>
  <si>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2"/>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</si>
  <si>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</si>
  <si>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</si>
  <si>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</si>
  <si>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</si>
  <si>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</si>
  <si>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</si>
  <si>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</si>
  <si>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</si>
  <si>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</si>
  <si>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</si>
  <si>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</si>
  <si>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</si>
  <si>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</si>
  <si>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</si>
  <si>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</si>
  <si>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</si>
  <si>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</si>
  <si>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</si>
  <si>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</si>
  <si>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</si>
  <si>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</si>
  <si>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</si>
  <si>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</si>
  <si>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</si>
  <si>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</si>
  <si>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</si>
  <si>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</si>
  <si>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</si>
  <si>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</si>
  <si>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</si>
  <si>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</si>
  <si>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</si>
  <si>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</si>
  <si>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</si>
  <si>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</si>
  <si>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</si>
  <si>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</si>
  <si>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</si>
  <si>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</si>
  <si>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</si>
  <si>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</si>
  <si>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</si>
  <si>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</si>
  <si>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</si>
  <si>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</si>
  <si>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</si>
  <si>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</si>
  <si>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</si>
  <si>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</si>
  <si>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</si>
  <si>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</si>
  <si>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</si>
  <si>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</si>
  <si>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</si>
  <si>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</si>
  <si>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</si>
  <si>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</si>
  <si>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</si>
  <si>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</si>
  <si>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</si>
  <si>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</si>
  <si>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</si>
  <si>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</si>
  <si>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</si>
  <si>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</si>
  <si>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</si>
  <si>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</si>
  <si>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</si>
  <si>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</si>
  <si>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</si>
  <si>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</si>
  <si>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</si>
  <si>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</si>
  <si>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</si>
  <si>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</si>
  <si>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</si>
  <si>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</si>
  <si>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</si>
  <si>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</si>
  <si>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</si>
  <si>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</si>
  <si>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</si>
  <si>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</si>
  <si>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</si>
  <si>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</si>
  <si>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</si>
  <si>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</si>
  <si>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</si>
  <si>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</si>
  <si>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</si>
  <si>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</si>
  <si>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</si>
  <si>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</si>
  <si>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</si>
  <si>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</si>
  <si>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</si>
  <si>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</si>
  <si>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</si>
  <si>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</si>
  <si>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</si>
  <si>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</si>
  <si>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</si>
  <si>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</si>
  <si>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</si>
  <si>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</si>
  <si>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</si>
  <si>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</si>
  <si>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</si>
  <si>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</si>
  <si>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</si>
  <si>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</si>
  <si>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</si>
  <si>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</si>
  <si>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</si>
  <si>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</si>
  <si>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</si>
  <si>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</si>
  <si>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</si>
  <si>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</si>
  <si>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</si>
  <si>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</si>
  <si>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</si>
  <si>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</si>
  <si>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</si>
  <si>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</si>
  <si>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</si>
  <si>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</si>
  <si>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</si>
  <si>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</si>
  <si>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</si>
  <si>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</si>
  <si>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</si>
  <si>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</si>
  <si>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</si>
  <si>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</si>
  <si>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</si>
  <si>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</si>
  <si>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</si>
  <si>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</si>
  <si>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</si>
  <si>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</si>
  <si>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</si>
  <si>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</si>
  <si>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</si>
  <si>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</si>
  <si>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</si>
  <si>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</si>
  <si>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</si>
  <si>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</si>
  <si>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</si>
  <si>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</si>
  <si>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</si>
  <si>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</si>
  <si>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</si>
  <si>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</si>
  <si>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</si>
  <si>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</si>
  <si>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</si>
  <si>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</si>
  <si>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</si>
  <si>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</si>
  <si>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</si>
  <si>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</si>
  <si>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</si>
  <si>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</si>
  <si>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</si>
  <si>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</si>
  <si>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</si>
  <si>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</si>
  <si>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</si>
  <si>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</si>
  <si>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</si>
  <si>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</si>
  <si>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</si>
  <si>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</si>
  <si>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</si>
  <si>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</si>
  <si>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</si>
  <si>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</si>
  <si>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</si>
  <si>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</si>
  <si>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</si>
  <si>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</si>
  <si>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</si>
  <si>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</si>
  <si>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</si>
  <si>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</si>
  <si>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</si>
  <si>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</si>
  <si>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</si>
  <si>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</si>
  <si>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</si>
  <si>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</si>
  <si>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</si>
  <si>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</si>
  <si>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</si>
  <si>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</si>
  <si>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</si>
  <si>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</si>
  <si>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</si>
  <si>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</si>
  <si>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</si>
  <si>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</si>
  <si>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</si>
  <si>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</si>
  <si>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</si>
  <si>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</si>
  <si>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</si>
  <si>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</si>
  <si>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</si>
  <si>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</si>
  <si>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</si>
  <si>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</si>
  <si>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</si>
  <si>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</si>
  <si>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</si>
  <si>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</si>
  <si>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</si>
  <si>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</si>
  <si>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</si>
  <si>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</si>
  <si>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</si>
  <si>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</si>
  <si>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</si>
  <si>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</si>
  <si>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</si>
  <si>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</si>
  <si>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</si>
  <si>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</si>
  <si>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</si>
  <si>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</si>
  <si>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</si>
  <si>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</si>
  <si>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</si>
  <si>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</si>
  <si>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</si>
  <si>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</si>
  <si>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</si>
  <si>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</si>
  <si>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</si>
  <si>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</si>
  <si>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</si>
  <si>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</si>
  <si>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</si>
  <si>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</si>
  <si>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</si>
  <si>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</si>
  <si>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</si>
  <si>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</si>
  <si>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</si>
  <si>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</si>
  <si>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</si>
  <si>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</si>
  <si>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</si>
  <si>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</si>
  <si>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</si>
  <si>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</si>
  <si>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</si>
  <si>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</si>
  <si>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</si>
  <si>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</si>
  <si>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</si>
  <si>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</si>
  <si>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</si>
  <si>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</si>
  <si>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</si>
  <si>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</si>
  <si>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</si>
  <si>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</si>
  <si>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</si>
  <si>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</si>
  <si>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</si>
  <si>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</si>
  <si>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</si>
  <si>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</si>
  <si>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</si>
  <si>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</si>
  <si>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</si>
  <si>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</si>
  <si>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</si>
  <si>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</si>
  <si>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</si>
  <si>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</si>
  <si>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</si>
  <si>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</si>
  <si>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</si>
  <si>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</si>
  <si>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</si>
  <si>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</si>
  <si>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</si>
  <si>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</si>
  <si>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</si>
  <si>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</si>
  <si>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</si>
  <si>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</si>
  <si>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</si>
  <si>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</si>
  <si>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</si>
  <si>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</si>
  <si>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</si>
  <si>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</si>
  <si>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</si>
  <si>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</si>
  <si>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</si>
  <si>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</si>
  <si>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</si>
  <si>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</si>
  <si>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</si>
  <si>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</si>
  <si>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</si>
  <si>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</si>
  <si>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</si>
  <si>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</si>
  <si>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</si>
  <si>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</si>
  <si>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</si>
  <si>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</si>
  <si>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</si>
  <si>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</si>
  <si>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</si>
  <si>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</si>
  <si>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</si>
  <si>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</si>
  <si>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</si>
  <si>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</si>
  <si>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</si>
  <si>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</si>
  <si>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</si>
  <si>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</si>
  <si>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</si>
  <si>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</si>
  <si>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</si>
  <si>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</si>
  <si>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</si>
  <si>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</si>
  <si>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</si>
  <si>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</si>
  <si>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</si>
  <si>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</si>
  <si>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</si>
  <si>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</si>
  <si>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</si>
  <si>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</si>
  <si>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</si>
  <si>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</si>
  <si>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</si>
  <si>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</si>
  <si>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</si>
  <si>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</si>
  <si>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</si>
  <si>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</si>
  <si>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</si>
  <si>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</si>
  <si>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</si>
  <si>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</si>
  <si>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</si>
  <si>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</si>
  <si>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</si>
  <si>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</si>
  <si>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</si>
  <si>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</si>
  <si>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</si>
  <si>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</si>
  <si>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</si>
  <si>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</si>
  <si>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</si>
  <si>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</si>
  <si>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</si>
  <si>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</si>
  <si>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</si>
  <si>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</si>
  <si>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</si>
  <si>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</si>
  <si>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</si>
  <si>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</si>
  <si>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</si>
  <si>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</si>
  <si>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</si>
  <si>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</si>
  <si>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</si>
  <si>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</si>
  <si>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</si>
  <si>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</si>
  <si>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</si>
  <si>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</si>
  <si>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</si>
  <si>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</si>
  <si>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</si>
  <si>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</si>
  <si>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</si>
  <si>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</si>
  <si>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</si>
  <si>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</si>
  <si>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</si>
  <si>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</si>
  <si>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</si>
  <si>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</si>
  <si>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</si>
  <si>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</si>
  <si>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</si>
  <si>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</si>
  <si>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</si>
  <si>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</si>
  <si>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</si>
  <si>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</si>
  <si>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</si>
  <si>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</si>
  <si>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</si>
  <si>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</si>
  <si>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</si>
  <si>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</si>
  <si>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</si>
  <si>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</si>
  <si>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</si>
  <si>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</si>
  <si>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</si>
  <si>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</si>
  <si>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</si>
  <si>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</si>
  <si>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</si>
  <si>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</si>
  <si>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</si>
  <si>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</si>
  <si>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</si>
  <si>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</si>
  <si>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</si>
  <si>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</si>
  <si>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</si>
  <si>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</si>
  <si>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</si>
  <si>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</si>
  <si>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</si>
  <si>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</si>
  <si>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</si>
  <si>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</si>
  <si>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</si>
  <si>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</si>
  <si>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</si>
  <si>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</si>
  <si>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</si>
  <si>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</si>
  <si>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</si>
  <si>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</si>
  <si>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</si>
  <si>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</si>
  <si>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</si>
  <si>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</si>
  <si>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</si>
  <si>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</si>
  <si>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</si>
  <si>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</si>
  <si>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</si>
  <si>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</si>
  <si>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</si>
  <si>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</si>
  <si>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</si>
  <si>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</si>
  <si>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</si>
  <si>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</si>
  <si>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</si>
  <si>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</si>
  <si>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</si>
  <si>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</si>
  <si>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</si>
  <si>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</si>
  <si>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</si>
  <si>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</si>
  <si>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</si>
  <si>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</si>
  <si>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</si>
  <si>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</si>
  <si>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</si>
  <si>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</si>
  <si>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</si>
  <si>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</si>
  <si>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</si>
  <si>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</si>
  <si>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</si>
  <si>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</si>
  <si>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</si>
  <si>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</si>
  <si>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</si>
  <si>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</si>
  <si>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</si>
  <si>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</si>
  <si>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</si>
  <si>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</si>
  <si>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</si>
  <si>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</si>
  <si>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</si>
  <si>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</si>
  <si>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</si>
  <si>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</si>
  <si>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</si>
  <si>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</si>
  <si>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</si>
  <si>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</si>
  <si>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</si>
  <si>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</si>
  <si>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</si>
  <si>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</si>
  <si>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</si>
  <si>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</si>
  <si>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</si>
  <si>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</si>
  <si>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</si>
  <si>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</si>
  <si>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</si>
  <si>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</si>
  <si>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</si>
  <si>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</si>
  <si>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</si>
  <si>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</si>
  <si>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</si>
  <si>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</si>
  <si>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</si>
  <si>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</si>
  <si>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</si>
  <si>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</si>
  <si>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</si>
  <si>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</si>
  <si>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</si>
  <si>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</si>
  <si>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</si>
  <si>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</si>
  <si>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</si>
  <si>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</si>
  <si>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</si>
  <si>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</si>
  <si>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</si>
  <si>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</si>
  <si>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</si>
  <si>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</si>
  <si>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</si>
  <si>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</si>
  <si>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</si>
  <si>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</si>
  <si>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</si>
  <si>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</si>
  <si>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</si>
  <si>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</si>
  <si>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</si>
  <si>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</si>
  <si>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</si>
  <si>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</si>
  <si>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</si>
  <si>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</si>
  <si>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</si>
  <si>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</si>
  <si>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</si>
  <si>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</si>
  <si>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</si>
  <si>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</si>
  <si>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</si>
  <si>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</si>
  <si>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</si>
  <si>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</si>
  <si>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</si>
  <si>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</si>
  <si>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</si>
  <si>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</si>
  <si>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</si>
  <si>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</si>
  <si>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</si>
  <si>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</si>
  <si>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</si>
  <si>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</si>
  <si>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</si>
  <si>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</si>
  <si>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</si>
  <si>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</si>
  <si>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</si>
  <si>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</si>
  <si>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</si>
  <si>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</si>
  <si>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</si>
  <si>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</si>
  <si>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</si>
  <si>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</si>
  <si>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</si>
  <si>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</si>
  <si>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</si>
  <si>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</si>
  <si>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</si>
  <si>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</si>
  <si>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</si>
  <si>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</si>
  <si>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</si>
  <si>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</si>
  <si>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</si>
  <si>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</si>
  <si>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</si>
  <si>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</si>
  <si>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</si>
  <si>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</si>
  <si>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</si>
  <si>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</si>
  <si>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</si>
  <si>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</si>
  <si>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</si>
  <si>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</si>
  <si>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</si>
  <si>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</si>
  <si>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</si>
  <si>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</si>
  <si>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</si>
  <si>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</si>
  <si>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</si>
  <si>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</si>
  <si>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</si>
  <si>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</si>
  <si>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</si>
  <si>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</si>
  <si>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</si>
  <si>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</si>
  <si>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</si>
  <si>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</si>
  <si>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</si>
  <si>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</si>
  <si>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</si>
  <si>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</si>
  <si>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</si>
  <si>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</si>
  <si>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</si>
  <si>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</si>
  <si>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</si>
  <si>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</si>
  <si>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</si>
  <si>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</si>
  <si>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</si>
  <si>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</si>
  <si>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</si>
  <si>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</si>
  <si>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</si>
  <si>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</si>
  <si>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</si>
  <si>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</si>
  <si>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</si>
  <si>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</si>
  <si>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</si>
  <si>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</si>
  <si>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</si>
  <si>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</si>
  <si>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</si>
  <si>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</si>
  <si>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</si>
  <si>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</si>
  <si>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</si>
  <si>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</si>
  <si>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</si>
  <si>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</si>
  <si>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</si>
  <si>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</si>
  <si>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</si>
  <si>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</si>
  <si>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</si>
  <si>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</si>
  <si>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</si>
  <si>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</si>
  <si>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</si>
  <si>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</si>
  <si>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</si>
  <si>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</si>
  <si>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</si>
  <si>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</si>
  <si>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</si>
  <si>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</si>
  <si>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</si>
  <si>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</si>
  <si>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</si>
  <si>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</si>
  <si>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</si>
  <si>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</si>
  <si>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</si>
  <si>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</si>
  <si>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</si>
  <si>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</si>
  <si>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</si>
  <si>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</si>
  <si>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</si>
  <si>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</si>
  <si>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</si>
  <si>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</si>
  <si>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</si>
  <si>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</si>
  <si>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</si>
  <si>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</si>
  <si>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</si>
  <si>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</si>
  <si>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</si>
  <si>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</si>
  <si>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</si>
  <si>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</si>
  <si>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</si>
  <si>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</si>
  <si>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</si>
  <si>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</si>
  <si>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</si>
  <si>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</si>
  <si>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</si>
  <si>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</si>
  <si>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</si>
  <si>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</si>
  <si>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</si>
  <si>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</si>
  <si>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</si>
  <si>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</si>
  <si>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</si>
  <si>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</si>
  <si>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</si>
  <si>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</si>
  <si>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</si>
  <si>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</si>
  <si>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</si>
  <si>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</si>
  <si>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</si>
  <si>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</si>
  <si>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</si>
  <si>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</si>
  <si>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</si>
  <si>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</si>
  <si>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</si>
  <si>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</si>
  <si>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</si>
  <si>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</si>
  <si>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</si>
  <si>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</si>
  <si>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</si>
  <si>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</si>
  <si>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</si>
  <si>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</si>
  <si>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</si>
  <si>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</si>
  <si>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</si>
  <si>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</si>
  <si>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</si>
  <si>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</si>
  <si>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</si>
  <si>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</si>
  <si>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</si>
  <si>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</si>
  <si>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</si>
  <si>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</si>
  <si>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</si>
  <si>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</si>
  <si>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</si>
  <si>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</si>
  <si>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</si>
  <si>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</si>
  <si>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</si>
  <si>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</si>
  <si>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</si>
  <si>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</si>
  <si>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</si>
  <si>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</si>
  <si>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</si>
  <si>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</si>
  <si>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</si>
  <si>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</si>
  <si>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</si>
  <si>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</si>
  <si>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</si>
  <si>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</si>
  <si>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</si>
  <si>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</si>
  <si>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</si>
  <si>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</si>
  <si>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</si>
  <si>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</si>
  <si>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</si>
  <si>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</si>
  <si>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</si>
  <si>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</si>
  <si>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</si>
  <si>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</si>
  <si>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</si>
  <si>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</si>
  <si>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</si>
  <si>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</si>
  <si>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</si>
  <si>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</si>
  <si>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</si>
  <si>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</si>
  <si>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</si>
  <si>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</si>
  <si>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</si>
  <si>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</si>
  <si>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</si>
  <si>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</si>
  <si>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</si>
  <si>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</si>
  <si>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</si>
  <si>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</si>
  <si>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</si>
  <si>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</si>
  <si>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</si>
  <si>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</si>
  <si>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</si>
  <si>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</si>
  <si>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</si>
  <si>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</si>
  <si>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</si>
  <si>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</si>
  <si>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</si>
  <si>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</si>
  <si>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</si>
  <si>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</si>
  <si>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</si>
  <si>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</si>
  <si>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</si>
  <si>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</si>
  <si>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</si>
  <si>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</si>
  <si>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</si>
  <si>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</si>
  <si>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</si>
  <si>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</si>
  <si>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</si>
  <si>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</si>
  <si>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</si>
  <si>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</si>
  <si>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</si>
  <si>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</si>
  <si>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</si>
  <si>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</si>
  <si>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</si>
  <si>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</si>
  <si>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</si>
  <si>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</si>
  <si>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</si>
  <si>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</si>
  <si>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</si>
  <si>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</si>
  <si>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</si>
  <si>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</si>
  <si>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</si>
  <si>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</si>
  <si>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</si>
  <si>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</si>
  <si>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</si>
  <si>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</si>
  <si>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</si>
  <si>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</si>
  <si>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</si>
  <si>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</si>
  <si>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</si>
  <si>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</si>
  <si>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</si>
  <si>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</si>
  <si>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</si>
  <si>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</si>
  <si>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</si>
  <si>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</si>
  <si>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</si>
  <si>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</si>
  <si>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</si>
  <si>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</si>
  <si>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</si>
  <si>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</si>
  <si>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</si>
  <si>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</si>
  <si>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</si>
  <si>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</si>
  <si>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</si>
  <si>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</si>
  <si>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</si>
  <si>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</si>
  <si>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</si>
  <si>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</si>
  <si>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</si>
  <si>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</si>
  <si>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</si>
  <si>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</si>
  <si>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</si>
  <si>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</si>
  <si>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</si>
  <si>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</si>
  <si>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</si>
  <si>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</si>
  <si>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</si>
  <si>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</si>
  <si>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</si>
  <si>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</si>
  <si>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</si>
  <si>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</si>
  <si>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</si>
  <si>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</si>
  <si>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</si>
  <si>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</si>
  <si>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</si>
  <si>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</si>
  <si>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</si>
  <si>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</si>
  <si>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</si>
  <si>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</si>
  <si>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</si>
  <si>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</si>
  <si>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</si>
  <si>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</si>
  <si>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</si>
  <si>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</si>
  <si>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</si>
  <si>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</si>
  <si>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</si>
  <si>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</si>
  <si>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</si>
  <si>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</si>
  <si>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</si>
  <si>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</si>
  <si>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</si>
  <si>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</si>
  <si>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</si>
  <si>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</si>
  <si>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</si>
  <si>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</si>
  <si>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</si>
  <si>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</si>
  <si>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</si>
  <si>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</si>
  <si>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</si>
  <si>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</si>
  <si>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</si>
  <si>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</si>
  <si>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</si>
  <si>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</si>
  <si>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</si>
  <si>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</si>
  <si>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</si>
  <si>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</si>
  <si>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</si>
  <si>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</si>
  <si>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</si>
  <si>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</si>
  <si>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</si>
  <si>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</si>
  <si>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</si>
  <si>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</si>
  <si>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</si>
  <si>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</si>
  <si>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</si>
  <si>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</si>
  <si>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</si>
  <si>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</si>
  <si>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</si>
  <si>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</si>
  <si>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</si>
  <si>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</si>
  <si>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</si>
  <si>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</si>
  <si>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</si>
  <si>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</si>
  <si>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</si>
  <si>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</si>
  <si>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</si>
  <si>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</si>
  <si>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</si>
  <si>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</si>
  <si>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</si>
  <si>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</si>
  <si>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</si>
  <si>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</si>
  <si>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</si>
  <si>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</si>
  <si>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</si>
  <si>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</si>
  <si>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</si>
  <si>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</si>
  <si>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</si>
  <si>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</si>
  <si>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</si>
  <si>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</si>
  <si>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</si>
  <si>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</si>
  <si>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</si>
  <si>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</si>
  <si>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</si>
  <si>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</si>
  <si>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</si>
  <si>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</si>
  <si>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</si>
  <si>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</si>
  <si>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</si>
  <si>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</si>
  <si>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</si>
  <si>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</si>
  <si>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</si>
  <si>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</si>
  <si>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</si>
  <si>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</si>
  <si>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</si>
  <si>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</si>
  <si>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</si>
  <si>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</si>
  <si>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</si>
  <si>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</si>
  <si>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</si>
  <si>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</si>
  <si>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</si>
  <si>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</si>
  <si>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</si>
  <si>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</si>
  <si>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</si>
  <si>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</si>
  <si>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</si>
  <si>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</si>
  <si>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</si>
  <si>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</si>
  <si>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</si>
  <si>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</si>
  <si>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</si>
  <si>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</si>
  <si>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</si>
  <si>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</si>
  <si>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</si>
  <si>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</si>
  <si>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</si>
  <si>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</si>
  <si>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</si>
  <si>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</si>
  <si>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</si>
  <si>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</si>
  <si>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</si>
  <si>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</si>
  <si>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</si>
  <si>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</si>
  <si>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</si>
  <si>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</si>
  <si>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</si>
  <si>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</si>
  <si>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</si>
  <si>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</si>
  <si>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</si>
  <si>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</si>
  <si>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</si>
  <si>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</si>
  <si>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</si>
  <si>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</si>
  <si>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</si>
  <si>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</si>
  <si>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</si>
  <si>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</si>
  <si>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</si>
  <si>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</si>
  <si>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</si>
  <si>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</si>
  <si>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</si>
  <si>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</si>
  <si>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</si>
  <si>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</si>
  <si>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</si>
  <si>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</si>
  <si>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</si>
  <si>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</si>
  <si>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</si>
  <si>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</si>
  <si>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</si>
  <si>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</si>
  <si>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</si>
  <si>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</si>
  <si>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</si>
  <si>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</si>
  <si>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</si>
  <si>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</si>
  <si>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</si>
  <si>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</si>
  <si>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</si>
  <si>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</si>
  <si>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</si>
  <si>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</si>
  <si>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</si>
  <si>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</si>
  <si>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</si>
  <si>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</si>
  <si>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</si>
  <si>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</si>
  <si>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</si>
  <si>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</si>
  <si>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</si>
  <si>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</si>
  <si>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</si>
  <si>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</si>
  <si>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</si>
  <si>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</si>
  <si>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</si>
  <si>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</si>
  <si>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</si>
  <si>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</si>
  <si>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</si>
  <si>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</si>
  <si>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</si>
  <si>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</si>
  <si>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</si>
  <si>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</si>
  <si>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</si>
  <si>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</si>
  <si>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</si>
  <si>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</si>
  <si>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</si>
  <si>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</si>
  <si>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</si>
  <si>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</si>
  <si>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</si>
  <si>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</si>
  <si>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</si>
  <si>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</si>
  <si>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</si>
  <si>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</si>
  <si>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</si>
  <si>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</si>
  <si>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</si>
  <si>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</si>
  <si>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</si>
  <si>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</si>
  <si>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</si>
  <si>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</si>
  <si>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</si>
  <si>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</si>
  <si>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</si>
  <si>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</si>
  <si>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</si>
  <si>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</si>
  <si>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</si>
  <si>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</si>
  <si>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</si>
  <si>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</si>
  <si>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</si>
  <si>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</si>
  <si>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</si>
  <si>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</si>
  <si>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</si>
  <si>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</si>
  <si>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</si>
  <si>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</si>
  <si>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</si>
  <si>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</si>
  <si>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</si>
  <si>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</si>
  <si>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</si>
  <si>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</si>
  <si>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</si>
  <si>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</si>
  <si>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</si>
  <si>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</si>
  <si>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</si>
  <si>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</si>
  <si>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</si>
  <si>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</si>
  <si>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</si>
  <si>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</si>
  <si>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</si>
  <si>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</si>
  <si>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</si>
  <si>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</si>
  <si>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</si>
  <si>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</si>
  <si>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</si>
  <si>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</si>
  <si>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</si>
  <si>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</si>
  <si>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</si>
  <si>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</si>
  <si>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</si>
  <si>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</si>
  <si>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</si>
  <si>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</si>
  <si>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</si>
  <si>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</si>
  <si>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</si>
  <si>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</si>
  <si>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</si>
  <si>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</si>
  <si>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</si>
  <si>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</si>
  <si>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</si>
  <si>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</si>
  <si>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</si>
  <si>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</si>
  <si>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</si>
  <si>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</si>
  <si>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</si>
  <si>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</si>
  <si>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</si>
  <si>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</si>
  <si>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</si>
  <si>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</si>
  <si>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</si>
  <si>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</si>
  <si>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</si>
  <si>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</si>
  <si>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</si>
  <si>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</si>
  <si>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</si>
  <si>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</si>
  <si>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</si>
  <si>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</si>
  <si>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</si>
  <si>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</si>
  <si>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</si>
  <si>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</si>
  <si>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</si>
  <si>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</si>
  <si>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</si>
  <si>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</si>
  <si>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</si>
  <si>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</si>
  <si>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</si>
  <si>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</si>
  <si>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</si>
  <si>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</si>
  <si>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</si>
  <si>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</si>
  <si>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</si>
  <si>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</si>
  <si>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</si>
  <si>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</si>
  <si>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</si>
  <si>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</si>
  <si>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</si>
  <si>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</si>
  <si>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</si>
  <si>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</si>
  <si>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</si>
  <si>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</si>
  <si>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</si>
  <si>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</si>
  <si>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</si>
  <si>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</si>
  <si>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</si>
  <si>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</si>
  <si>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</si>
  <si>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</si>
  <si>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</si>
  <si>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</si>
  <si>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</si>
  <si>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</si>
  <si>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</si>
  <si>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</si>
  <si>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</si>
  <si>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</si>
  <si>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</si>
  <si>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</si>
  <si>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</si>
  <si>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</si>
  <si>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</si>
  <si>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</si>
  <si>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</si>
  <si>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</si>
  <si>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</si>
  <si>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</si>
  <si>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</si>
  <si>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</si>
  <si>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</si>
  <si>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</si>
  <si>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</si>
  <si>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</si>
  <si>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</si>
  <si>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</si>
  <si>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</si>
  <si>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</si>
  <si>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</si>
  <si>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</si>
  <si>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</si>
  <si>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</si>
  <si>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</si>
  <si>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</si>
  <si>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</si>
  <si>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</si>
  <si>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</si>
  <si>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</si>
  <si>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</si>
  <si>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</si>
  <si>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</si>
  <si>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</si>
  <si>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</si>
  <si>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</si>
  <si>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</si>
  <si>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</si>
  <si>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</si>
  <si>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</si>
  <si>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</si>
  <si>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</si>
  <si>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</si>
  <si>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</si>
  <si>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</si>
  <si>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</si>
  <si>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</si>
  <si>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</si>
  <si>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</si>
  <si>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</si>
  <si>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</si>
  <si>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</si>
  <si>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</si>
  <si>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</si>
  <si>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</si>
  <si>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</si>
  <si>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</si>
  <si>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</si>
  <si>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</si>
  <si>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</si>
  <si>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</si>
  <si>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</si>
  <si>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</si>
  <si>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</si>
  <si>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</si>
  <si>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</si>
  <si>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</si>
  <si>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</si>
  <si>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</si>
  <si>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</si>
  <si>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</si>
  <si>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</si>
  <si>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</si>
  <si>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</si>
  <si>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</si>
  <si>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</si>
  <si>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</si>
  <si>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</si>
  <si>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</si>
  <si>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</si>
  <si>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</si>
  <si>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</si>
  <si>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</si>
  <si>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</si>
  <si>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</si>
  <si>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</si>
  <si>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</si>
  <si>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</si>
  <si>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</si>
  <si>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</si>
  <si>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</si>
  <si>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</si>
  <si>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</si>
  <si>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</si>
  <si>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</si>
  <si>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</si>
  <si>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</si>
  <si>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</si>
  <si>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</si>
  <si>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</si>
  <si>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</si>
  <si>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</si>
  <si>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</si>
  <si>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</si>
  <si>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</si>
  <si>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</si>
  <si>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</si>
  <si>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</si>
  <si>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</si>
  <si>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</si>
  <si>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</si>
  <si>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</si>
  <si>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</si>
  <si>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</si>
  <si>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</si>
  <si>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</si>
  <si>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</si>
  <si>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</si>
  <si>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</si>
  <si>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03136906</t>
  </si>
  <si>
    <t>070000553</t>
  </si>
  <si>
    <t>31407797858</t>
  </si>
  <si>
    <t>IVKOM DD</t>
  </si>
  <si>
    <t>IVANEC</t>
  </si>
  <si>
    <t>V. Nazora 96b</t>
  </si>
  <si>
    <t>ivkom@ivkom.hr</t>
  </si>
  <si>
    <t>www.ivkom.hr</t>
  </si>
  <si>
    <t>DA</t>
  </si>
  <si>
    <t>41748200389</t>
  </si>
  <si>
    <t>Kušen Brankica</t>
  </si>
  <si>
    <t>042770573</t>
  </si>
  <si>
    <t>042781307</t>
  </si>
  <si>
    <t>brankica@ivkom.hr</t>
  </si>
  <si>
    <t>Stanko Mladen</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</si>
</sst>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2"/>
    </font>
    <font>
      <sz val="10"/>
      <color indexed="8"/>
      <name val="MS Sans Serif"/>
      <family val="2"/>
    </font>
    <font>
      <u val="single"/>
      <sz val="10"/>
      <color indexed="36"/>
      <name val="Arial"/>
      <family val="2"/>
    </font>
    <font>
      <sz val="12"/>
      <color indexed="56"/>
      <name val="Arial Rounded MT Bold"/>
      <family val="2"/>
    </font>
    <font>
      <sz val="10"/>
      <color indexed="56"/>
      <name val="Arial"/>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2"/>
    </font>
    <font>
      <b/>
      <sz val="8"/>
      <name val="Tahoma"/>
      <family val="2"/>
    </font>
    <font>
      <sz val="8"/>
      <color indexed="22"/>
      <name val="Arial"/>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2"/>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0" fillId="20" borderId="1" applyNumberFormat="0" applyFont="0" applyAlignment="0" applyProtection="0"/>
    <xf numFmtId="0" fontId="91" fillId="21" borderId="0" applyNumberFormat="0" applyBorder="0" applyAlignment="0" applyProtection="0"/>
    <xf numFmtId="0" fontId="4" fillId="0" borderId="0" applyNumberFormat="0" applyFill="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6" borderId="0" applyNumberFormat="0" applyBorder="0" applyAlignment="0" applyProtection="0"/>
    <xf numFmtId="0" fontId="90" fillId="27" borderId="0" applyNumberFormat="0" applyBorder="0" applyAlignment="0" applyProtection="0"/>
    <xf numFmtId="0" fontId="92" fillId="28" borderId="2" applyNumberFormat="0" applyAlignment="0" applyProtection="0"/>
    <xf numFmtId="0" fontId="93" fillId="28" borderId="3" applyNumberFormat="0" applyAlignment="0" applyProtection="0"/>
    <xf numFmtId="0" fontId="94" fillId="29" borderId="0" applyNumberFormat="0" applyBorder="0" applyAlignment="0" applyProtection="0"/>
    <xf numFmtId="0" fontId="95" fillId="0" borderId="0" applyNumberFormat="0" applyFill="0" applyBorder="0" applyAlignment="0" applyProtection="0"/>
    <xf numFmtId="0" fontId="96" fillId="0" borderId="4"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5" fillId="0" borderId="0">
      <alignment/>
      <protection/>
    </xf>
    <xf numFmtId="0" fontId="3" fillId="0" borderId="0">
      <alignment/>
      <protection/>
    </xf>
    <xf numFmtId="9" fontId="0" fillId="0" borderId="0" applyFont="0" applyFill="0" applyBorder="0" applyAlignment="0" applyProtection="0"/>
    <xf numFmtId="0" fontId="100" fillId="0" borderId="7" applyNumberFormat="0" applyFill="0" applyAlignment="0" applyProtection="0"/>
    <xf numFmtId="0" fontId="6" fillId="0" borderId="0" applyNumberFormat="0" applyFill="0" applyBorder="0" applyAlignment="0" applyProtection="0"/>
    <xf numFmtId="0" fontId="101" fillId="31" borderId="8"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2">
      <alignment/>
      <protection/>
    </xf>
    <xf numFmtId="0" fontId="24" fillId="0" borderId="19" xfId="52" applyFont="1" applyBorder="1" applyAlignment="1">
      <alignment horizontal="right" vertical="center"/>
      <protection/>
    </xf>
    <xf numFmtId="0" fontId="24" fillId="0" borderId="20" xfId="52"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2" applyFont="1" applyBorder="1" applyAlignment="1">
      <alignment horizontal="left" vertical="center"/>
      <protection/>
    </xf>
    <xf numFmtId="0" fontId="24" fillId="0" borderId="32" xfId="52" applyFont="1" applyBorder="1" applyAlignment="1">
      <alignment horizontal="left" vertical="center"/>
      <protection/>
    </xf>
    <xf numFmtId="0" fontId="33" fillId="37" borderId="33" xfId="52" applyFont="1" applyFill="1" applyBorder="1" applyAlignment="1">
      <alignment horizontal="center" vertical="center" wrapText="1"/>
      <protection/>
    </xf>
    <xf numFmtId="0" fontId="33" fillId="37" borderId="34" xfId="52" applyFont="1" applyFill="1" applyBorder="1" applyAlignment="1">
      <alignment horizontal="center" vertical="center" wrapText="1"/>
      <protection/>
    </xf>
    <xf numFmtId="0" fontId="40" fillId="0" borderId="35" xfId="52" applyFont="1" applyBorder="1" applyAlignment="1">
      <alignment horizontal="center" vertical="center"/>
      <protection/>
    </xf>
    <xf numFmtId="0" fontId="40" fillId="0" borderId="19" xfId="52" applyFont="1" applyBorder="1" applyAlignment="1">
      <alignment horizontal="center" vertical="center"/>
      <protection/>
    </xf>
    <xf numFmtId="0" fontId="41" fillId="0" borderId="19" xfId="52" applyFont="1" applyBorder="1" applyAlignment="1">
      <alignment horizontal="center" vertical="center"/>
      <protection/>
    </xf>
    <xf numFmtId="0" fontId="41" fillId="0" borderId="31" xfId="52" applyFont="1" applyBorder="1" applyAlignment="1">
      <alignment horizontal="left" vertical="center"/>
      <protection/>
    </xf>
    <xf numFmtId="0" fontId="41" fillId="0" borderId="20" xfId="52" applyFont="1" applyBorder="1" applyAlignment="1">
      <alignment horizontal="center" vertical="center"/>
      <protection/>
    </xf>
    <xf numFmtId="0" fontId="40" fillId="0" borderId="36" xfId="52" applyFont="1" applyBorder="1" applyAlignment="1">
      <alignment horizontal="left" vertical="center"/>
      <protection/>
    </xf>
    <xf numFmtId="0" fontId="40" fillId="0" borderId="31" xfId="52"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35" applyFont="1" applyFill="1" applyBorder="1" applyAlignment="1" applyProtection="1">
      <alignment horizontal="center" vertical="center" shrinkToFit="1"/>
      <protection/>
    </xf>
    <xf numFmtId="0" fontId="42" fillId="39" borderId="38" xfId="35" applyFont="1" applyFill="1" applyBorder="1" applyAlignment="1" applyProtection="1">
      <alignment horizontal="center" vertical="center" shrinkToFit="1"/>
      <protection/>
    </xf>
    <xf numFmtId="0" fontId="38" fillId="39" borderId="39" xfId="35" applyFont="1" applyFill="1" applyBorder="1" applyAlignment="1" applyProtection="1">
      <alignment horizontal="center" vertical="center" shrinkToFit="1"/>
      <protection/>
    </xf>
    <xf numFmtId="0" fontId="42" fillId="39" borderId="40" xfId="35" applyFont="1" applyFill="1" applyBorder="1" applyAlignment="1" applyProtection="1">
      <alignment horizontal="center" vertical="center" shrinkToFit="1"/>
      <protection/>
    </xf>
    <xf numFmtId="0" fontId="38" fillId="39" borderId="41" xfId="35" applyFont="1" applyFill="1" applyBorder="1" applyAlignment="1" applyProtection="1">
      <alignment horizontal="center" vertical="center" shrinkToFit="1"/>
      <protection/>
    </xf>
    <xf numFmtId="0" fontId="38" fillId="39" borderId="42" xfId="35" applyFont="1" applyFill="1" applyBorder="1" applyAlignment="1" applyProtection="1">
      <alignment horizontal="center" vertical="center" shrinkToFit="1"/>
      <protection/>
    </xf>
    <xf numFmtId="0" fontId="33" fillId="39" borderId="42" xfId="35"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35"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8" fillId="0" borderId="21" xfId="0" applyFont="1" applyBorder="1" applyAlignment="1" applyProtection="1">
      <alignment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6" fillId="35" borderId="64" xfId="35" applyFont="1" applyFill="1" applyBorder="1" applyAlignment="1" applyProtection="1">
      <alignment vertical="center" wrapText="1"/>
      <protection/>
    </xf>
    <xf numFmtId="0" fontId="26" fillId="35" borderId="65" xfId="35" applyFont="1" applyFill="1" applyBorder="1" applyAlignment="1" applyProtection="1">
      <alignment vertical="center" wrapText="1"/>
      <protection/>
    </xf>
    <xf numFmtId="0" fontId="26" fillId="35" borderId="66" xfId="35" applyFont="1" applyFill="1" applyBorder="1" applyAlignment="1" applyProtection="1">
      <alignment vertical="center" wrapText="1"/>
      <protection/>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67" xfId="35" applyFont="1" applyFill="1" applyBorder="1" applyAlignment="1" applyProtection="1">
      <alignment vertical="center" wrapText="1"/>
      <protection/>
    </xf>
    <xf numFmtId="0" fontId="26" fillId="35" borderId="0" xfId="35" applyFont="1" applyFill="1" applyBorder="1" applyAlignment="1" applyProtection="1">
      <alignment vertical="center" wrapText="1"/>
      <protection/>
    </xf>
    <xf numFmtId="0" fontId="26" fillId="35" borderId="68" xfId="35" applyFont="1" applyFill="1" applyBorder="1" applyAlignment="1" applyProtection="1">
      <alignment vertical="center" wrapText="1"/>
      <protection/>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6" fillId="35" borderId="69" xfId="35" applyFont="1" applyFill="1" applyBorder="1" applyAlignment="1" applyProtection="1">
      <alignment vertical="center" wrapText="1"/>
      <protection/>
    </xf>
    <xf numFmtId="0" fontId="24" fillId="35" borderId="70" xfId="35" applyFont="1" applyFill="1" applyBorder="1" applyAlignment="1" applyProtection="1">
      <alignment vertical="center" wrapText="1"/>
      <protection/>
    </xf>
    <xf numFmtId="0" fontId="24" fillId="35" borderId="71" xfId="35" applyFont="1" applyFill="1" applyBorder="1" applyAlignment="1" applyProtection="1">
      <alignment vertical="center" wrapText="1"/>
      <protection/>
    </xf>
    <xf numFmtId="0" fontId="53"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2"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20"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top" wrapText="1"/>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1" fillId="0" borderId="21"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24" fillId="50" borderId="15" xfId="0" applyFont="1" applyFill="1" applyBorder="1" applyAlignment="1" applyProtection="1">
      <alignment horizontal="left" vertical="center" wrapText="1"/>
      <protection hidden="1"/>
    </xf>
    <xf numFmtId="0" fontId="26" fillId="50" borderId="25" xfId="0" applyFont="1" applyFill="1" applyBorder="1" applyAlignment="1" applyProtection="1">
      <alignment horizontal="left" vertical="center" wrapText="1"/>
      <protection hidden="1"/>
    </xf>
    <xf numFmtId="0" fontId="26" fillId="50"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35" borderId="17" xfId="0" applyFont="1"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9" fillId="0" borderId="48" xfId="0" applyFont="1" applyBorder="1" applyAlignment="1" applyProtection="1">
      <alignment horizontal="left" vertical="top"/>
      <protection hidden="1"/>
    </xf>
    <xf numFmtId="0" fontId="32" fillId="0" borderId="0" xfId="0" applyFont="1" applyBorder="1" applyAlignment="1" applyProtection="1">
      <alignment vertical="top" wrapText="1"/>
      <protection hidden="1"/>
    </xf>
    <xf numFmtId="0" fontId="0" fillId="0" borderId="0" xfId="0" applyAlignment="1" applyProtection="1">
      <alignment wrapText="1"/>
      <protection hidden="1"/>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5" fillId="35" borderId="17" xfId="0" applyNumberFormat="1" applyFon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2"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35"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35" applyFill="1" applyBorder="1" applyAlignment="1" applyProtection="1">
      <alignment/>
      <protection locked="0"/>
    </xf>
    <xf numFmtId="0" fontId="0" fillId="0" borderId="0" xfId="0" applyAlignment="1">
      <alignment horizontal="left" vertical="top" wrapText="1" indent="2"/>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1"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13" fillId="0" borderId="75" xfId="0" applyFont="1" applyFill="1" applyBorder="1" applyAlignment="1">
      <alignment horizontal="left" vertical="center" wrapText="1"/>
    </xf>
    <xf numFmtId="0" fontId="13" fillId="0" borderId="76" xfId="0" applyFont="1" applyFill="1" applyBorder="1" applyAlignment="1">
      <alignment horizontal="left" vertical="center" wrapText="1"/>
    </xf>
    <xf numFmtId="0" fontId="14" fillId="0" borderId="76" xfId="0" applyFont="1" applyBorder="1" applyAlignment="1">
      <alignment vertical="center"/>
    </xf>
    <xf numFmtId="0" fontId="14"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3" fillId="40" borderId="1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6" xfId="0" applyFont="1" applyFill="1" applyBorder="1" applyAlignment="1" applyProtection="1">
      <alignment horizontal="center" vertical="center" wrapText="1"/>
      <protection hidden="1"/>
    </xf>
    <xf numFmtId="0" fontId="38" fillId="37" borderId="87"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55" fillId="0" borderId="0" xfId="0" applyFont="1" applyFill="1" applyBorder="1" applyAlignment="1">
      <alignment vertical="center" wrapText="1"/>
    </xf>
    <xf numFmtId="0" fontId="55" fillId="0" borderId="0" xfId="0" applyFont="1" applyAlignment="1">
      <alignment vertical="center"/>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30" xfId="0" applyFont="1" applyFill="1" applyBorder="1" applyAlignment="1">
      <alignment horizontal="left" vertical="center" wrapText="1" indent="1"/>
    </xf>
    <xf numFmtId="0" fontId="13" fillId="0" borderId="81" xfId="0" applyFont="1" applyFill="1" applyBorder="1" applyAlignment="1">
      <alignment horizontal="left" vertical="center" wrapText="1" indent="1"/>
    </xf>
    <xf numFmtId="0" fontId="13"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0" fillId="0" borderId="80" xfId="0" applyBorder="1" applyAlignment="1">
      <alignment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6"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6" fillId="0" borderId="74"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54" borderId="26" xfId="0" applyFont="1" applyFill="1" applyBorder="1" applyAlignment="1">
      <alignment vertical="center" wrapText="1"/>
    </xf>
    <xf numFmtId="0" fontId="0" fillId="0" borderId="80" xfId="0" applyFont="1" applyBorder="1" applyAlignment="1">
      <alignment vertical="center" wrapText="1"/>
    </xf>
    <xf numFmtId="0" fontId="16" fillId="0" borderId="82" xfId="0" applyFont="1"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7" fillId="37" borderId="91" xfId="0" applyFont="1" applyFill="1" applyBorder="1" applyAlignment="1">
      <alignment horizontal="center" vertical="center"/>
    </xf>
    <xf numFmtId="0" fontId="37" fillId="37" borderId="92" xfId="0" applyFont="1" applyFill="1" applyBorder="1" applyAlignment="1">
      <alignment horizontal="center" vertical="center"/>
    </xf>
    <xf numFmtId="0" fontId="37" fillId="37" borderId="93" xfId="0" applyFont="1" applyFill="1" applyBorder="1" applyAlignment="1">
      <alignment horizontal="center" vertical="center"/>
    </xf>
    <xf numFmtId="0" fontId="38" fillId="37" borderId="94" xfId="0" applyFont="1" applyFill="1" applyBorder="1" applyAlignment="1">
      <alignment horizontal="center" vertical="center" wrapText="1"/>
    </xf>
    <xf numFmtId="0" fontId="39" fillId="37" borderId="95"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44" fillId="0" borderId="10"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6" xfId="0" applyFont="1" applyBorder="1" applyAlignment="1">
      <alignment vertical="center" wrapText="1"/>
    </xf>
    <xf numFmtId="0" fontId="41" fillId="0" borderId="77" xfId="0" applyFont="1" applyBorder="1" applyAlignment="1">
      <alignment vertical="center" wrapText="1"/>
    </xf>
    <xf numFmtId="0" fontId="41" fillId="0" borderId="102"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38" fillId="38" borderId="103" xfId="0" applyFont="1" applyFill="1" applyBorder="1" applyAlignment="1" applyProtection="1">
      <alignment horizontal="center" vertical="center" wrapText="1"/>
      <protection hidden="1"/>
    </xf>
    <xf numFmtId="0" fontId="38" fillId="38" borderId="103"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1" fillId="0" borderId="104" xfId="0" applyFont="1" applyBorder="1" applyAlignment="1">
      <alignment vertical="center" wrapText="1"/>
    </xf>
    <xf numFmtId="0" fontId="41" fillId="0" borderId="81" xfId="0" applyFont="1" applyBorder="1" applyAlignment="1">
      <alignment vertical="center" wrapText="1"/>
    </xf>
    <xf numFmtId="0" fontId="41" fillId="0" borderId="82" xfId="0" applyFont="1" applyBorder="1" applyAlignment="1">
      <alignment vertical="center" wrapText="1"/>
    </xf>
    <xf numFmtId="0" fontId="41" fillId="0" borderId="105" xfId="52" applyFont="1" applyBorder="1" applyAlignment="1">
      <alignment horizontal="left" vertical="center"/>
      <protection/>
    </xf>
    <xf numFmtId="0" fontId="41" fillId="0" borderId="31" xfId="52" applyFont="1" applyBorder="1" applyAlignment="1">
      <alignment horizontal="left" vertical="center"/>
      <protection/>
    </xf>
    <xf numFmtId="0" fontId="41" fillId="0" borderId="106" xfId="52" applyFont="1" applyBorder="1" applyAlignment="1">
      <alignment horizontal="left" vertical="center"/>
      <protection/>
    </xf>
    <xf numFmtId="0" fontId="41" fillId="0" borderId="32" xfId="52" applyFont="1" applyBorder="1" applyAlignment="1">
      <alignment horizontal="left" vertical="center"/>
      <protection/>
    </xf>
    <xf numFmtId="0" fontId="40" fillId="0" borderId="102" xfId="52" applyFont="1" applyBorder="1" applyAlignment="1">
      <alignment horizontal="left" vertical="center"/>
      <protection/>
    </xf>
    <xf numFmtId="0" fontId="40" fillId="0" borderId="80" xfId="52"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3" fillId="37" borderId="107" xfId="52"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0" fillId="0" borderId="101" xfId="52" applyFont="1" applyBorder="1" applyAlignment="1">
      <alignment horizontal="left" vertical="center"/>
      <protection/>
    </xf>
    <xf numFmtId="0" fontId="40" fillId="0" borderId="77" xfId="52"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26" xfId="0" applyFont="1" applyFill="1" applyBorder="1" applyAlignment="1" applyProtection="1">
      <alignment horizontal="center"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15" xfId="0" applyFont="1"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75" xfId="0" applyFont="1" applyBorder="1" applyAlignment="1" applyProtection="1">
      <alignment vertical="center"/>
      <protection hidden="1"/>
    </xf>
    <xf numFmtId="0" fontId="12" fillId="0" borderId="76" xfId="0" applyFont="1" applyBorder="1" applyAlignment="1" applyProtection="1">
      <alignment vertical="center"/>
      <protection hidden="1"/>
    </xf>
    <xf numFmtId="0" fontId="12" fillId="0" borderId="77" xfId="0" applyFont="1" applyBorder="1" applyAlignment="1" applyProtection="1">
      <alignment vertical="center"/>
      <protection hidden="1"/>
    </xf>
    <xf numFmtId="0" fontId="39" fillId="38" borderId="25" xfId="0" applyFont="1" applyFill="1" applyBorder="1" applyAlignment="1" applyProtection="1">
      <alignment horizontal="left"/>
      <protection hidden="1"/>
    </xf>
    <xf numFmtId="0" fontId="39" fillId="38" borderId="26" xfId="0" applyFont="1" applyFill="1" applyBorder="1" applyAlignment="1" applyProtection="1">
      <alignment horizontal="left"/>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12" fillId="0" borderId="80" xfId="0" applyFont="1" applyBorder="1" applyAlignment="1" applyProtection="1">
      <alignment vertical="center"/>
      <protection hidden="1"/>
    </xf>
    <xf numFmtId="0" fontId="12" fillId="0" borderId="30" xfId="0" applyFont="1" applyBorder="1" applyAlignment="1" applyProtection="1">
      <alignment vertical="center"/>
      <protection hidden="1"/>
    </xf>
    <xf numFmtId="0" fontId="12" fillId="0" borderId="81" xfId="0" applyFont="1" applyBorder="1" applyAlignment="1" applyProtection="1">
      <alignment vertical="center"/>
      <protection hidden="1"/>
    </xf>
    <xf numFmtId="0" fontId="12"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1" xfId="0" applyFont="1" applyFill="1" applyBorder="1" applyAlignment="1" applyProtection="1">
      <alignment vertical="center"/>
      <protection hidden="1"/>
    </xf>
    <xf numFmtId="0" fontId="12"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2" fillId="0" borderId="104" xfId="0" applyFont="1" applyBorder="1" applyAlignment="1" applyProtection="1">
      <alignment vertical="center" wrapText="1"/>
      <protection hidden="1"/>
    </xf>
    <xf numFmtId="0" fontId="23" fillId="0" borderId="81" xfId="0" applyFont="1" applyBorder="1" applyAlignment="1" applyProtection="1">
      <alignment wrapText="1"/>
      <protection hidden="1"/>
    </xf>
    <xf numFmtId="0" fontId="23"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Obično_Knjiga2"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2014</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2539191.64</v>
      </c>
      <c r="I3" s="27">
        <f>ABS(ROUND(J3,0)-J3)+ABS(ROUND(K3,0)-K3)</f>
        <v>0</v>
      </c>
      <c r="J3" s="75">
        <f>Bilanca!K11</f>
        <v>89754776</v>
      </c>
      <c r="K3" s="76">
        <f>Bilanca!L11</f>
        <v>18602403</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65294.64</v>
      </c>
      <c r="I4" s="77">
        <f>ABS(ROUND(J4,0)-J4)+ABS(ROUND(K4,0)-K4)</f>
        <v>0</v>
      </c>
      <c r="J4" s="75">
        <f>Bilanca!K12</f>
        <v>29220</v>
      </c>
      <c r="K4" s="76">
        <f>Bilanca!L12</f>
        <v>1073634</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03136906</v>
      </c>
      <c r="C6" s="27"/>
      <c r="D6" s="27" t="s">
        <v>2272</v>
      </c>
      <c r="E6" s="27">
        <v>1</v>
      </c>
      <c r="F6" s="27">
        <f>Bilanca!I14</f>
        <v>5</v>
      </c>
      <c r="G6" s="27">
        <f>IF(Bilanca!J14=0,"",Bilanca!J14)</f>
      </c>
      <c r="H6" s="224">
        <f t="shared" si="1"/>
        <v>1695.6999999999998</v>
      </c>
      <c r="I6" s="77">
        <f t="shared" si="2"/>
        <v>0</v>
      </c>
      <c r="J6" s="75">
        <f>Bilanca!K14</f>
        <v>11232</v>
      </c>
      <c r="K6" s="76">
        <f>Bilanca!L14</f>
        <v>11341</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070000553</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31407797858</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IVKOM DD</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42240</v>
      </c>
      <c r="C10" s="27"/>
      <c r="D10" s="27" t="s">
        <v>2272</v>
      </c>
      <c r="E10" s="27">
        <v>1</v>
      </c>
      <c r="F10" s="27">
        <f>Bilanca!I18</f>
        <v>9</v>
      </c>
      <c r="G10" s="27">
        <f>IF(Bilanca!J18=0,"",Bilanca!J18)</f>
      </c>
      <c r="H10" s="224">
        <f t="shared" si="1"/>
        <v>192831.66</v>
      </c>
      <c r="I10" s="77">
        <f t="shared" si="2"/>
        <v>0</v>
      </c>
      <c r="J10" s="75">
        <f>Bilanca!K18</f>
        <v>17988</v>
      </c>
      <c r="K10" s="76">
        <f>Bilanca!L18</f>
        <v>1062293</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IVANEC</v>
      </c>
      <c r="C11" s="27"/>
      <c r="D11" s="27" t="s">
        <v>2272</v>
      </c>
      <c r="E11" s="27">
        <v>1</v>
      </c>
      <c r="F11" s="27">
        <f>Bilanca!I19</f>
        <v>10</v>
      </c>
      <c r="G11" s="27">
        <f>IF(Bilanca!J19=0,"",Bilanca!J19)</f>
      </c>
      <c r="H11" s="224">
        <f t="shared" si="1"/>
        <v>11790746.6</v>
      </c>
      <c r="I11" s="27">
        <f t="shared" si="2"/>
        <v>0</v>
      </c>
      <c r="J11" s="75">
        <f>Bilanca!K19</f>
        <v>87433680</v>
      </c>
      <c r="K11" s="76">
        <f>Bilanca!L19</f>
        <v>15236893</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V. Nazora 96b</v>
      </c>
      <c r="C12" s="27"/>
      <c r="D12" s="27" t="s">
        <v>2272</v>
      </c>
      <c r="E12" s="27">
        <v>1</v>
      </c>
      <c r="F12" s="27">
        <f>Bilanca!I20</f>
        <v>11</v>
      </c>
      <c r="G12" s="27">
        <f>IF(Bilanca!J20=0,"",Bilanca!J20)</f>
      </c>
      <c r="H12" s="224">
        <f t="shared" si="1"/>
        <v>14088.58</v>
      </c>
      <c r="I12" s="77">
        <f t="shared" si="2"/>
        <v>0</v>
      </c>
      <c r="J12" s="75">
        <f>Bilanca!K20</f>
        <v>82444</v>
      </c>
      <c r="K12" s="76">
        <f>Bilanca!L20</f>
        <v>22817</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ivkom@ivkom.hr</v>
      </c>
      <c r="C13" s="27"/>
      <c r="D13" s="27" t="s">
        <v>2272</v>
      </c>
      <c r="E13" s="27">
        <v>1</v>
      </c>
      <c r="F13" s="27">
        <f>Bilanca!I21</f>
        <v>12</v>
      </c>
      <c r="G13" s="27">
        <f>IF(Bilanca!J21=0,"",Bilanca!J21)</f>
      </c>
      <c r="H13" s="224">
        <f t="shared" si="1"/>
        <v>8660806.56</v>
      </c>
      <c r="I13" s="27">
        <f t="shared" si="2"/>
        <v>0</v>
      </c>
      <c r="J13" s="75">
        <f>Bilanca!K21</f>
        <v>67331982</v>
      </c>
      <c r="K13" s="76">
        <f>Bilanca!L21</f>
        <v>2420703</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www.ivkom.hr</v>
      </c>
      <c r="C14" s="27"/>
      <c r="D14" s="27" t="s">
        <v>2272</v>
      </c>
      <c r="E14" s="27">
        <v>1</v>
      </c>
      <c r="F14" s="27">
        <f>Bilanca!I22</f>
        <v>13</v>
      </c>
      <c r="G14" s="27">
        <f>IF(Bilanca!J22=0,"",Bilanca!J22)</f>
      </c>
      <c r="H14" s="224">
        <f t="shared" si="1"/>
        <v>179655.06</v>
      </c>
      <c r="I14" s="77">
        <f t="shared" si="2"/>
        <v>0</v>
      </c>
      <c r="J14" s="75">
        <f>Bilanca!K22</f>
        <v>520060</v>
      </c>
      <c r="K14" s="76">
        <f>Bilanca!L22</f>
        <v>430951</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05</v>
      </c>
      <c r="C15" s="27"/>
      <c r="D15" s="27" t="s">
        <v>2272</v>
      </c>
      <c r="E15" s="27">
        <v>1</v>
      </c>
      <c r="F15" s="27">
        <f>Bilanca!I23</f>
        <v>14</v>
      </c>
      <c r="G15" s="27">
        <f>IF(Bilanca!J23=0,"",Bilanca!J23)</f>
      </c>
      <c r="H15" s="224">
        <f t="shared" si="1"/>
        <v>1295008.1199999999</v>
      </c>
      <c r="I15" s="27">
        <f t="shared" si="2"/>
        <v>0</v>
      </c>
      <c r="J15" s="75">
        <f>Bilanca!K23</f>
        <v>2272296</v>
      </c>
      <c r="K15" s="76">
        <f>Bilanca!L23</f>
        <v>3488881</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156</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3811</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5945576.6</v>
      </c>
      <c r="I18" s="77">
        <f t="shared" si="2"/>
        <v>0</v>
      </c>
      <c r="J18" s="75">
        <f>Bilanca!K26</f>
        <v>17226898</v>
      </c>
      <c r="K18" s="76">
        <f>Bilanca!L26</f>
        <v>8873541</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DA</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2</v>
      </c>
      <c r="C21" s="27"/>
      <c r="D21" s="27" t="s">
        <v>2272</v>
      </c>
      <c r="E21" s="27">
        <v>1</v>
      </c>
      <c r="F21" s="27">
        <f>Bilanca!I29</f>
        <v>20</v>
      </c>
      <c r="G21" s="27">
        <f>IF(Bilanca!J29=0,"",Bilanca!J29)</f>
      </c>
      <c r="H21" s="224">
        <f t="shared" si="1"/>
        <v>1375125.5999999999</v>
      </c>
      <c r="I21" s="27">
        <f t="shared" si="2"/>
        <v>0</v>
      </c>
      <c r="J21" s="75">
        <f>Bilanca!K29</f>
        <v>2291876</v>
      </c>
      <c r="K21" s="76">
        <f>Bilanca!L29</f>
        <v>2291876</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1443881.88</v>
      </c>
      <c r="I22" s="77">
        <f t="shared" si="2"/>
        <v>0</v>
      </c>
      <c r="J22" s="75">
        <f>Bilanca!K30</f>
        <v>2291876</v>
      </c>
      <c r="K22" s="76">
        <f>Bilanca!L30</f>
        <v>2291876</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90</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75</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81</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62</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10199477.76</v>
      </c>
      <c r="I35" s="27">
        <f t="shared" si="2"/>
        <v>0</v>
      </c>
      <c r="J35" s="75">
        <f>Bilanca!K43</f>
        <v>12219798</v>
      </c>
      <c r="K35" s="76">
        <f>Bilanca!L43</f>
        <v>8889333</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504446.95</v>
      </c>
      <c r="I36" s="77">
        <f t="shared" si="2"/>
        <v>0</v>
      </c>
      <c r="J36" s="75">
        <f>Bilanca!K44</f>
        <v>818375</v>
      </c>
      <c r="K36" s="76">
        <f>Bilanca!L44</f>
        <v>311451</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491088.6</v>
      </c>
      <c r="I37" s="27">
        <f t="shared" si="2"/>
        <v>0</v>
      </c>
      <c r="J37" s="75">
        <f>Bilanca!K45</f>
        <v>818375</v>
      </c>
      <c r="K37" s="76">
        <f>Bilanca!L45</f>
        <v>272880</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Kušen Brankica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042770573</v>
      </c>
      <c r="C40" s="27"/>
      <c r="D40" s="27" t="s">
        <v>2272</v>
      </c>
      <c r="E40" s="27">
        <v>1</v>
      </c>
      <c r="F40" s="27">
        <f>Bilanca!I48</f>
        <v>39</v>
      </c>
      <c r="G40" s="27">
        <f>IF(Bilanca!J48=0,"",Bilanca!J48)</f>
      </c>
      <c r="H40" s="224">
        <f t="shared" si="1"/>
        <v>30085.379999999997</v>
      </c>
      <c r="I40" s="77">
        <f t="shared" si="2"/>
        <v>0</v>
      </c>
      <c r="J40" s="75">
        <f>Bilanca!K48</f>
        <v>0</v>
      </c>
      <c r="K40" s="76">
        <f>Bilanca!L48</f>
        <v>38571</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042781307</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brankica@ivkom.hr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Stanko Mladen</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20140101</v>
      </c>
      <c r="C44" s="27"/>
      <c r="D44" s="27" t="s">
        <v>2272</v>
      </c>
      <c r="E44" s="27">
        <v>1</v>
      </c>
      <c r="F44" s="27">
        <f>Bilanca!I52</f>
        <v>43</v>
      </c>
      <c r="G44" s="27">
        <f>IF(Bilanca!J52=0,"",Bilanca!J52)</f>
      </c>
      <c r="H44" s="224">
        <f t="shared" si="1"/>
        <v>6023422.8</v>
      </c>
      <c r="I44" s="77">
        <f t="shared" si="2"/>
        <v>0</v>
      </c>
      <c r="J44" s="75">
        <f>Bilanca!K52</f>
        <v>5834438</v>
      </c>
      <c r="K44" s="76">
        <f>Bilanca!L52</f>
        <v>4086761</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20141231</v>
      </c>
      <c r="C45" s="27"/>
      <c r="D45" s="27" t="s">
        <v>2272</v>
      </c>
      <c r="E45" s="27">
        <v>1</v>
      </c>
      <c r="F45" s="27">
        <f>Bilanca!I53</f>
        <v>44</v>
      </c>
      <c r="G45" s="27">
        <f>IF(Bilanca!J53=0,"",Bilanca!J53)</f>
      </c>
      <c r="H45" s="224">
        <f aca="true" t="shared" si="3" ref="H45:H60">J45/100*F45+2*K45/100*F45</f>
        <v>1351881.0799999998</v>
      </c>
      <c r="I45" s="27">
        <f aca="true" t="shared" si="4" ref="I45:I60">ABS(ROUND(J45,0)-J45)+ABS(ROUND(K45,0)-K45)</f>
        <v>0</v>
      </c>
      <c r="J45" s="75">
        <f>Bilanca!K53</f>
        <v>278629</v>
      </c>
      <c r="K45" s="76">
        <f>Bilanca!L53</f>
        <v>1396914</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3882354.75</v>
      </c>
      <c r="I46" s="77">
        <f t="shared" si="4"/>
        <v>0</v>
      </c>
      <c r="J46" s="75">
        <f>Bilanca!K54</f>
        <v>4432733</v>
      </c>
      <c r="K46" s="76">
        <f>Bilanca!L54</f>
        <v>2097361</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41593.92</v>
      </c>
      <c r="I49" s="27">
        <f t="shared" si="4"/>
        <v>0</v>
      </c>
      <c r="J49" s="75">
        <f>Bilanca!K57</f>
        <v>58934</v>
      </c>
      <c r="K49" s="76">
        <f>Bilanca!L57</f>
        <v>13860</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DA</v>
      </c>
      <c r="C50" s="27"/>
      <c r="D50" s="27" t="s">
        <v>2272</v>
      </c>
      <c r="E50" s="27">
        <v>1</v>
      </c>
      <c r="F50" s="27">
        <f>Bilanca!I58</f>
        <v>49</v>
      </c>
      <c r="G50" s="27">
        <f>IF(Bilanca!J58=0,"",Bilanca!J58)</f>
      </c>
      <c r="H50" s="224">
        <f t="shared" si="3"/>
        <v>1088483.06</v>
      </c>
      <c r="I50" s="77">
        <f t="shared" si="4"/>
        <v>0</v>
      </c>
      <c r="J50" s="75">
        <f>Bilanca!K58</f>
        <v>1064142</v>
      </c>
      <c r="K50" s="76">
        <f>Bilanca!L58</f>
        <v>578626</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DA</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DA</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DA</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1754300405.22</v>
      </c>
      <c r="C59" s="27"/>
      <c r="D59" s="27" t="s">
        <v>2272</v>
      </c>
      <c r="E59" s="27">
        <v>1</v>
      </c>
      <c r="F59" s="27">
        <f>Bilanca!I67</f>
        <v>58</v>
      </c>
      <c r="G59" s="27">
        <f>IF(Bilanca!J67=0,"",Bilanca!J67)</f>
      </c>
      <c r="H59" s="224">
        <f t="shared" si="3"/>
        <v>8438551.66</v>
      </c>
      <c r="I59" s="27">
        <f t="shared" si="4"/>
        <v>0</v>
      </c>
      <c r="J59" s="75">
        <f>Bilanca!K67</f>
        <v>5566985</v>
      </c>
      <c r="K59" s="76">
        <f>Bilanca!L67</f>
        <v>4491121</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4</v>
      </c>
      <c r="C60" s="27"/>
      <c r="D60" s="27" t="s">
        <v>2272</v>
      </c>
      <c r="E60" s="27">
        <v>1</v>
      </c>
      <c r="F60" s="27">
        <f>Bilanca!I68</f>
        <v>59</v>
      </c>
      <c r="G60" s="27">
        <f>IF(Bilanca!J68=0,"",Bilanca!J68)</f>
      </c>
      <c r="H60" s="224">
        <f t="shared" si="3"/>
        <v>82765.79000000001</v>
      </c>
      <c r="I60" s="77">
        <f t="shared" si="4"/>
        <v>0</v>
      </c>
      <c r="J60" s="75">
        <f>Bilanca!K68</f>
        <v>58707</v>
      </c>
      <c r="K60" s="76">
        <f>Bilanca!L68</f>
        <v>40787</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94258996.2</v>
      </c>
      <c r="I61" s="27">
        <f>ABS(ROUND(J61,0)-J61)+ABS(ROUND(K61,0)-K61)</f>
        <v>0</v>
      </c>
      <c r="J61" s="75">
        <f>Bilanca!K69</f>
        <v>102033281</v>
      </c>
      <c r="K61" s="76">
        <f>Bilanca!L69</f>
        <v>27532523</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31214310</v>
      </c>
      <c r="I62" s="77">
        <f>ABS(ROUND(J62,0)-J62)+ABS(ROUND(K62,0)-K62)</f>
        <v>0</v>
      </c>
      <c r="J62" s="75">
        <f>Bilanca!K70</f>
        <v>30145380</v>
      </c>
      <c r="K62" s="76">
        <f>Bilanca!L70</f>
        <v>10512810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41748200389</v>
      </c>
      <c r="C63" s="27"/>
      <c r="D63" s="27" t="s">
        <v>2272</v>
      </c>
      <c r="E63" s="27">
        <v>1</v>
      </c>
      <c r="F63" s="27">
        <f>Bilanca!I72</f>
        <v>62</v>
      </c>
      <c r="G63" s="27">
        <f>IF(Bilanca!J72=0,"",Bilanca!J72)</f>
      </c>
      <c r="H63" s="224">
        <f>J63/100*F63+2*K63/100*F63</f>
        <v>42693111.34</v>
      </c>
      <c r="I63" s="27">
        <f>ABS(ROUND(J63,0)-J63)+ABS(ROUND(K63,0)-K63)</f>
        <v>0</v>
      </c>
      <c r="J63" s="75">
        <f>Bilanca!K72</f>
        <v>40776249</v>
      </c>
      <c r="K63" s="76">
        <f>Bilanca!L72</f>
        <v>14041804</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32237730</v>
      </c>
      <c r="I64" s="27">
        <f>ABS(ROUND(J64,0)-J64)+ABS(ROUND(K64,0)-K64)</f>
        <v>0</v>
      </c>
      <c r="J64" s="75">
        <f>Bilanca!K73</f>
        <v>30145380</v>
      </c>
      <c r="K64" s="76">
        <f>Bilanca!L73</f>
        <v>10512810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10375578.2</v>
      </c>
      <c r="I66" s="27">
        <f t="shared" si="6"/>
        <v>0</v>
      </c>
      <c r="J66" s="75">
        <f>Bilanca!K75</f>
        <v>10077422</v>
      </c>
      <c r="K66" s="76">
        <f>Bilanca!L75</f>
        <v>2942503</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90311.1</v>
      </c>
      <c r="I67" s="27">
        <f t="shared" si="6"/>
        <v>0</v>
      </c>
      <c r="J67" s="75">
        <f>Bilanca!K76</f>
        <v>44217</v>
      </c>
      <c r="K67" s="76">
        <f>Bilanca!L76</f>
        <v>46309</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11077915.1</v>
      </c>
      <c r="I71" s="27">
        <f t="shared" si="6"/>
        <v>0</v>
      </c>
      <c r="J71" s="75">
        <f>Bilanca!K80</f>
        <v>10033205</v>
      </c>
      <c r="K71" s="76">
        <f>Bilanca!L80</f>
        <v>2896194</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742021.71</v>
      </c>
      <c r="I72" s="27">
        <f t="shared" si="6"/>
        <v>0</v>
      </c>
      <c r="J72" s="75">
        <f>Bilanca!K81</f>
        <v>348367</v>
      </c>
      <c r="K72" s="76">
        <f>Bilanca!L81</f>
        <v>348367</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409826.16</v>
      </c>
      <c r="I73" s="27">
        <f t="shared" si="6"/>
        <v>0</v>
      </c>
      <c r="J73" s="75">
        <f>Bilanca!K82</f>
        <v>163229</v>
      </c>
      <c r="K73" s="76">
        <f>Bilanca!L82</f>
        <v>202987</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415518.18999999994</v>
      </c>
      <c r="I74" s="27">
        <f t="shared" si="6"/>
        <v>0</v>
      </c>
      <c r="J74" s="75">
        <f>Bilanca!K83</f>
        <v>163229</v>
      </c>
      <c r="K74" s="76">
        <f>Bilanca!L83</f>
        <v>202987</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84093.75</v>
      </c>
      <c r="I76" s="27">
        <f t="shared" si="6"/>
        <v>0</v>
      </c>
      <c r="J76" s="75">
        <f>Bilanca!K85</f>
        <v>41851</v>
      </c>
      <c r="K76" s="76">
        <f>Bilanca!L85</f>
        <v>35137</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85215</v>
      </c>
      <c r="I77" s="27">
        <f t="shared" si="6"/>
        <v>0</v>
      </c>
      <c r="J77" s="75">
        <f>Bilanca!K86</f>
        <v>41851</v>
      </c>
      <c r="K77" s="76">
        <f>Bilanca!L86</f>
        <v>35137</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116729.54000000001</v>
      </c>
      <c r="I84" s="27">
        <f t="shared" si="6"/>
        <v>0</v>
      </c>
      <c r="J84" s="75">
        <f>Bilanca!K93</f>
        <v>140638</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120948.68000000001</v>
      </c>
      <c r="I87" s="27">
        <f t="shared" si="6"/>
        <v>0</v>
      </c>
      <c r="J87" s="75">
        <f>Bilanca!K96</f>
        <v>140638</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11131265.79</v>
      </c>
      <c r="I94" s="27">
        <f t="shared" si="6"/>
        <v>0</v>
      </c>
      <c r="J94" s="75">
        <f>Bilanca!K103</f>
        <v>5477197</v>
      </c>
      <c r="K94" s="76">
        <f>Bilanca!L103</f>
        <v>3245953</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415136.64</v>
      </c>
      <c r="I97" s="27">
        <f t="shared" si="6"/>
        <v>0</v>
      </c>
      <c r="J97" s="75">
        <f>Bilanca!K106</f>
        <v>180488</v>
      </c>
      <c r="K97" s="76">
        <f>Bilanca!L106</f>
        <v>125973</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639696.5700000001</v>
      </c>
      <c r="I98" s="27">
        <f t="shared" si="6"/>
        <v>0</v>
      </c>
      <c r="J98" s="75">
        <f>Bilanca!K107</f>
        <v>656295</v>
      </c>
      <c r="K98" s="76">
        <f>Bilanca!L107</f>
        <v>1593</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4401815.04</v>
      </c>
      <c r="I99" s="27">
        <f aca="true" t="shared" si="9" ref="I99:I107">ABS(ROUND(J99,0)-J99)+ABS(ROUND(K99,0)-K99)</f>
        <v>0</v>
      </c>
      <c r="J99" s="75">
        <f>Bilanca!K108</f>
        <v>2777632</v>
      </c>
      <c r="K99" s="76">
        <f>Bilanca!L108</f>
        <v>857008</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1102095.8399999999</v>
      </c>
      <c r="I102" s="27">
        <f t="shared" si="9"/>
        <v>0</v>
      </c>
      <c r="J102" s="75">
        <f>Bilanca!K111</f>
        <v>381570</v>
      </c>
      <c r="K102" s="76">
        <f>Bilanca!L111</f>
        <v>354807</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1115994.24</v>
      </c>
      <c r="I103" s="27">
        <f t="shared" si="9"/>
        <v>0</v>
      </c>
      <c r="J103" s="75">
        <f>Bilanca!K112</f>
        <v>232790</v>
      </c>
      <c r="K103" s="76">
        <f>Bilanca!L112</f>
        <v>430661</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4410256.2</v>
      </c>
      <c r="I106" s="27">
        <f t="shared" si="9"/>
        <v>0</v>
      </c>
      <c r="J106" s="75">
        <f>Bilanca!K115</f>
        <v>1248422</v>
      </c>
      <c r="K106" s="76">
        <f>Bilanca!L115</f>
        <v>1475911</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80696452.74000001</v>
      </c>
      <c r="I107" s="27">
        <f t="shared" si="9"/>
        <v>0</v>
      </c>
      <c r="J107" s="75">
        <f>Bilanca!K116</f>
        <v>55639197</v>
      </c>
      <c r="K107" s="76">
        <f>Bilanca!L116</f>
        <v>10244766</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168095209.89</v>
      </c>
      <c r="I108" s="27">
        <f aca="true" t="shared" si="11" ref="I108:I113">ABS(ROUND(J108,0)-J108)+ABS(ROUND(K108,0)-K108)</f>
        <v>0</v>
      </c>
      <c r="J108" s="75">
        <f>Bilanca!K117</f>
        <v>102033281</v>
      </c>
      <c r="K108" s="76">
        <f>Bilanca!L117</f>
        <v>27532523</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55264680</v>
      </c>
      <c r="I109" s="27">
        <f t="shared" si="11"/>
        <v>0</v>
      </c>
      <c r="J109" s="75">
        <f>Bilanca!K118</f>
        <v>30145380</v>
      </c>
      <c r="K109" s="76">
        <f>Bilanca!L118</f>
        <v>10512810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44316254.94</v>
      </c>
      <c r="I112" s="27">
        <f t="shared" si="11"/>
        <v>0</v>
      </c>
      <c r="J112" s="75">
        <f>RDG!K9</f>
        <v>17113146</v>
      </c>
      <c r="K112" s="76">
        <f>RDG!L9</f>
        <v>11405704</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38693888.8</v>
      </c>
      <c r="I113" s="27">
        <f t="shared" si="11"/>
        <v>0</v>
      </c>
      <c r="J113" s="75">
        <f>RDG!K10</f>
        <v>13727291</v>
      </c>
      <c r="K113" s="76">
        <f>RDG!L10</f>
        <v>10410412</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6075376.07</v>
      </c>
      <c r="I114" s="27">
        <f aca="true" t="shared" si="13" ref="I114:I158">ABS(ROUND(J114,0)-J114)+ABS(ROUND(K114,0)-K114)</f>
        <v>0</v>
      </c>
      <c r="J114" s="75">
        <f>RDG!K11</f>
        <v>3385855</v>
      </c>
      <c r="K114" s="76">
        <f>RDG!L11</f>
        <v>995292</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46126567.14</v>
      </c>
      <c r="I115" s="27">
        <f t="shared" si="13"/>
        <v>0</v>
      </c>
      <c r="J115" s="75">
        <f>RDG!K12</f>
        <v>17320357</v>
      </c>
      <c r="K115" s="76">
        <f>RDG!L12</f>
        <v>11570772</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13013514.52</v>
      </c>
      <c r="I117" s="27">
        <f t="shared" si="13"/>
        <v>0</v>
      </c>
      <c r="J117" s="75">
        <f>RDG!K14</f>
        <v>4794095</v>
      </c>
      <c r="K117" s="76">
        <f>RDG!L14</f>
        <v>3212226</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6625016.1899999995</v>
      </c>
      <c r="I118" s="27">
        <f t="shared" si="13"/>
        <v>0</v>
      </c>
      <c r="J118" s="75">
        <f>RDG!K15</f>
        <v>2528237</v>
      </c>
      <c r="K118" s="76">
        <f>RDG!L15</f>
        <v>1567085</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1260962.1600000001</v>
      </c>
      <c r="I119" s="27">
        <f t="shared" si="13"/>
        <v>0</v>
      </c>
      <c r="J119" s="75">
        <f>RDG!K16</f>
        <v>392546</v>
      </c>
      <c r="K119" s="76">
        <f>RDG!L16</f>
        <v>338033</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5340158.32</v>
      </c>
      <c r="I120" s="27">
        <f t="shared" si="13"/>
        <v>0</v>
      </c>
      <c r="J120" s="75">
        <f>RDG!K17</f>
        <v>1873312</v>
      </c>
      <c r="K120" s="76">
        <f>RDG!L17</f>
        <v>1307108</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22042357.2</v>
      </c>
      <c r="I121" s="27">
        <f t="shared" si="13"/>
        <v>0</v>
      </c>
      <c r="J121" s="75">
        <f>RDG!K18</f>
        <v>7350111</v>
      </c>
      <c r="K121" s="76">
        <f>RDG!L18</f>
        <v>5509260</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15308900.64</v>
      </c>
      <c r="I122" s="27">
        <f t="shared" si="13"/>
        <v>0</v>
      </c>
      <c r="J122" s="75">
        <f>RDG!K19</f>
        <v>5100712</v>
      </c>
      <c r="K122" s="76">
        <f>RDG!L19</f>
        <v>3775636</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3859193.06</v>
      </c>
      <c r="I123" s="27">
        <f t="shared" si="13"/>
        <v>0</v>
      </c>
      <c r="J123" s="75">
        <f>RDG!K20</f>
        <v>1274059</v>
      </c>
      <c r="K123" s="76">
        <f>RDG!L20</f>
        <v>944607</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3140650.02</v>
      </c>
      <c r="I124" s="27">
        <f t="shared" si="13"/>
        <v>0</v>
      </c>
      <c r="J124" s="75">
        <f>RDG!K21</f>
        <v>975340</v>
      </c>
      <c r="K124" s="76">
        <f>RDG!L21</f>
        <v>789017</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4775381.359999999</v>
      </c>
      <c r="I125" s="27">
        <f t="shared" si="13"/>
        <v>0</v>
      </c>
      <c r="J125" s="75">
        <f>RDG!K22</f>
        <v>2343214</v>
      </c>
      <c r="K125" s="76">
        <f>RDG!L22</f>
        <v>753950</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6957341.25</v>
      </c>
      <c r="I126" s="27">
        <f t="shared" si="13"/>
        <v>0</v>
      </c>
      <c r="J126" s="75">
        <f>RDG!K23</f>
        <v>2397609</v>
      </c>
      <c r="K126" s="76">
        <f>RDG!L23</f>
        <v>1584132</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1502241.3</v>
      </c>
      <c r="I127" s="27">
        <f t="shared" si="13"/>
        <v>0</v>
      </c>
      <c r="J127" s="75">
        <f>RDG!K24</f>
        <v>327229</v>
      </c>
      <c r="K127" s="76">
        <f>RDG!L24</f>
        <v>432513</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1526086.4</v>
      </c>
      <c r="I129" s="27">
        <f t="shared" si="13"/>
        <v>0</v>
      </c>
      <c r="J129" s="75">
        <f>RDG!K26</f>
        <v>327229</v>
      </c>
      <c r="K129" s="76">
        <f>RDG!L26</f>
        <v>432513</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345125.30000000005</v>
      </c>
      <c r="I131" s="27">
        <f t="shared" si="13"/>
        <v>0</v>
      </c>
      <c r="J131" s="75">
        <f>RDG!K28</f>
        <v>108099</v>
      </c>
      <c r="K131" s="76">
        <f>RDG!L28</f>
        <v>78691</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1028081.45</v>
      </c>
      <c r="I132" s="27">
        <f t="shared" si="13"/>
        <v>0</v>
      </c>
      <c r="J132" s="75">
        <f>RDG!K29</f>
        <v>352749</v>
      </c>
      <c r="K132" s="76">
        <f>RDG!L29</f>
        <v>216023</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368130.83999999997</v>
      </c>
      <c r="I133" s="27">
        <f t="shared" si="13"/>
        <v>0</v>
      </c>
      <c r="J133" s="75">
        <f>RDG!K30</f>
        <v>122855</v>
      </c>
      <c r="K133" s="76">
        <f>RDG!L30</f>
        <v>78016</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672857.64</v>
      </c>
      <c r="I134" s="27">
        <f t="shared" si="13"/>
        <v>0</v>
      </c>
      <c r="J134" s="75">
        <f>RDG!K31</f>
        <v>229894</v>
      </c>
      <c r="K134" s="76">
        <f>RDG!L31</f>
        <v>138007</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157232.16</v>
      </c>
      <c r="I138" s="27">
        <f t="shared" si="13"/>
        <v>0</v>
      </c>
      <c r="J138" s="75">
        <f>RDG!K35</f>
        <v>92564</v>
      </c>
      <c r="K138" s="76">
        <f>RDG!L35</f>
        <v>11102</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159527.52</v>
      </c>
      <c r="I140" s="27">
        <f t="shared" si="13"/>
        <v>0</v>
      </c>
      <c r="J140" s="75">
        <f>RDG!K37</f>
        <v>92564</v>
      </c>
      <c r="K140" s="76">
        <f>RDG!L37</f>
        <v>11102</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46357.92</v>
      </c>
      <c r="I145" s="27">
        <f t="shared" si="13"/>
        <v>0</v>
      </c>
      <c r="J145" s="75">
        <f>RDG!K42</f>
        <v>3993</v>
      </c>
      <c r="K145" s="76">
        <f>RDG!L42</f>
        <v>14100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59482651.32000001</v>
      </c>
      <c r="I147" s="27">
        <f t="shared" si="13"/>
        <v>0</v>
      </c>
      <c r="J147" s="75">
        <f>RDG!K44</f>
        <v>17469888</v>
      </c>
      <c r="K147" s="76">
        <f>RDG!L44</f>
        <v>11635827</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59647703.43</v>
      </c>
      <c r="I148" s="27">
        <f t="shared" si="13"/>
        <v>0</v>
      </c>
      <c r="J148" s="75">
        <f>RDG!K45</f>
        <v>17412921</v>
      </c>
      <c r="K148" s="76">
        <f>RDG!L45</f>
        <v>11581874</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244012.03999999998</v>
      </c>
      <c r="I149" s="27">
        <f t="shared" si="13"/>
        <v>0</v>
      </c>
      <c r="J149" s="75">
        <f>RDG!K46</f>
        <v>56967</v>
      </c>
      <c r="K149" s="76">
        <f>RDG!L46</f>
        <v>53953</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245660.77</v>
      </c>
      <c r="I150" s="27">
        <f t="shared" si="13"/>
        <v>0</v>
      </c>
      <c r="J150" s="75">
        <f>RDG!K47</f>
        <v>56967</v>
      </c>
      <c r="K150" s="76">
        <f>RDG!L47</f>
        <v>53953</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79649.48</v>
      </c>
      <c r="I152" s="27">
        <f t="shared" si="13"/>
        <v>0</v>
      </c>
      <c r="J152" s="75">
        <f>RDG!K49</f>
        <v>15116</v>
      </c>
      <c r="K152" s="76">
        <f>RDG!L49</f>
        <v>18816</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170430</v>
      </c>
      <c r="I153" s="27">
        <f t="shared" si="13"/>
        <v>0</v>
      </c>
      <c r="J153" s="75">
        <f>RDG!K50</f>
        <v>41851</v>
      </c>
      <c r="K153" s="76">
        <f>RDG!L50</f>
        <v>35137</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171551.25</v>
      </c>
      <c r="I154" s="27">
        <f t="shared" si="13"/>
        <v>0</v>
      </c>
      <c r="J154" s="75">
        <f>RDG!K51</f>
        <v>41851</v>
      </c>
      <c r="K154" s="76">
        <f>RDG!L51</f>
        <v>35137</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529866.39</v>
      </c>
      <c r="I348" s="27">
        <f aca="true" t="shared" si="25" ref="I348:I392">ABS(ROUND(J348,0)-J348)+ABS(ROUND(K348,0)-K348)</f>
        <v>0</v>
      </c>
      <c r="J348" s="75">
        <f>NT_D!K10</f>
        <v>22537609</v>
      </c>
      <c r="K348" s="76">
        <f>NT_D!L10</f>
        <v>15224515</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10931.9</v>
      </c>
      <c r="I352" s="27">
        <f t="shared" si="25"/>
        <v>0</v>
      </c>
      <c r="J352" s="75">
        <f>NT_D!K14</f>
        <v>83310</v>
      </c>
      <c r="K352" s="76">
        <f>NT_D!L14</f>
        <v>67664</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3192316.62</v>
      </c>
      <c r="I353" s="27">
        <f t="shared" si="25"/>
        <v>0</v>
      </c>
      <c r="J353" s="75">
        <f>NT_D!K15</f>
        <v>22620919</v>
      </c>
      <c r="K353" s="76">
        <f>NT_D!L15</f>
        <v>15292179</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878878.8400000001</v>
      </c>
      <c r="I354" s="27">
        <f t="shared" si="25"/>
        <v>0</v>
      </c>
      <c r="J354" s="75">
        <f>NT_D!K16</f>
        <v>3927818</v>
      </c>
      <c r="K354" s="76">
        <f>NT_D!L16</f>
        <v>4313797</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1261497.44</v>
      </c>
      <c r="I355" s="27">
        <f t="shared" si="25"/>
        <v>0</v>
      </c>
      <c r="J355" s="75">
        <f>NT_D!K17</f>
        <v>6214470</v>
      </c>
      <c r="K355" s="76">
        <f>NT_D!L17</f>
        <v>4777124</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1080341.35</v>
      </c>
      <c r="I358" s="27">
        <f t="shared" si="25"/>
        <v>0</v>
      </c>
      <c r="J358" s="75">
        <f>NT_D!K20</f>
        <v>3219193</v>
      </c>
      <c r="K358" s="76">
        <f>NT_D!L20</f>
        <v>3301046</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44816.76</v>
      </c>
      <c r="I359" s="27">
        <f t="shared" si="25"/>
        <v>0</v>
      </c>
      <c r="J359" s="75">
        <f>NT_D!K21</f>
        <v>240483</v>
      </c>
      <c r="K359" s="76">
        <f>NT_D!L21</f>
        <v>66495</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5007455.44</v>
      </c>
      <c r="I360" s="27">
        <f t="shared" si="25"/>
        <v>0</v>
      </c>
      <c r="J360" s="75">
        <f>NT_D!K22</f>
        <v>13601964</v>
      </c>
      <c r="K360" s="76">
        <f>NT_D!L22</f>
        <v>12458462</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2056094.46</v>
      </c>
      <c r="I361" s="27">
        <f t="shared" si="25"/>
        <v>0</v>
      </c>
      <c r="J361" s="75">
        <f>NT_D!K23</f>
        <v>9018955</v>
      </c>
      <c r="K361" s="76">
        <f>NT_D!L23</f>
        <v>2833717</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731598.2</v>
      </c>
      <c r="I367" s="27">
        <f t="shared" si="25"/>
        <v>0</v>
      </c>
      <c r="J367" s="75">
        <f>NT_D!K30</f>
        <v>2936701</v>
      </c>
      <c r="K367" s="76">
        <f>NT_D!L30</f>
        <v>360645</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768178.11</v>
      </c>
      <c r="I368" s="27">
        <f t="shared" si="25"/>
        <v>0</v>
      </c>
      <c r="J368" s="75">
        <f>NT_D!K31</f>
        <v>2936701</v>
      </c>
      <c r="K368" s="76">
        <f>NT_D!L31</f>
        <v>360645</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4028580.38</v>
      </c>
      <c r="I369" s="27">
        <f t="shared" si="25"/>
        <v>0</v>
      </c>
      <c r="J369" s="75">
        <f>NT_D!K32</f>
        <v>10797927</v>
      </c>
      <c r="K369" s="76">
        <f>NT_D!L32</f>
        <v>3756901</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3357.6</v>
      </c>
      <c r="I371" s="27">
        <f t="shared" si="25"/>
        <v>0</v>
      </c>
      <c r="J371" s="75">
        <f>NT_D!K34</f>
        <v>9650</v>
      </c>
      <c r="K371" s="76">
        <f>NT_D!L34</f>
        <v>2170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4581429.75</v>
      </c>
      <c r="I372" s="27">
        <f t="shared" si="25"/>
        <v>0</v>
      </c>
      <c r="J372" s="75">
        <f>NT_D!K35</f>
        <v>10807577</v>
      </c>
      <c r="K372" s="76">
        <f>NT_D!L35</f>
        <v>3759071</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3960286.56</v>
      </c>
      <c r="I374" s="27">
        <f t="shared" si="25"/>
        <v>0</v>
      </c>
      <c r="J374" s="75">
        <f>NT_D!K37</f>
        <v>7870876</v>
      </c>
      <c r="K374" s="76">
        <f>NT_D!L37</f>
        <v>3398426</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2465000</v>
      </c>
      <c r="I376" s="27">
        <f t="shared" si="25"/>
        <v>0</v>
      </c>
      <c r="J376" s="75">
        <f>NT_D!K40</f>
        <v>4500000</v>
      </c>
      <c r="K376" s="76">
        <f>NT_D!L40</f>
        <v>2000000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69258</v>
      </c>
      <c r="I377" s="27">
        <f t="shared" si="25"/>
        <v>0</v>
      </c>
      <c r="J377" s="75">
        <f>NT_D!K41</f>
        <v>107358</v>
      </c>
      <c r="K377" s="76">
        <f>NT_D!L41</f>
        <v>61751</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2706566.5999999996</v>
      </c>
      <c r="I378" s="27">
        <f t="shared" si="25"/>
        <v>0</v>
      </c>
      <c r="J378" s="75">
        <f>NT_D!K42</f>
        <v>4607358</v>
      </c>
      <c r="K378" s="76">
        <f>NT_D!L42</f>
        <v>2061751</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4411587.96</v>
      </c>
      <c r="I383" s="27">
        <f t="shared" si="25"/>
        <v>0</v>
      </c>
      <c r="J383" s="75">
        <f>NT_D!K47</f>
        <v>7108599</v>
      </c>
      <c r="K383" s="76">
        <f>NT_D!L47</f>
        <v>2572906</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4534132.07</v>
      </c>
      <c r="I384" s="27">
        <f t="shared" si="25"/>
        <v>0</v>
      </c>
      <c r="J384" s="75">
        <f>NT_D!K48</f>
        <v>7108599</v>
      </c>
      <c r="K384" s="76">
        <f>NT_D!L48</f>
        <v>2572906</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1374184.8900000001</v>
      </c>
      <c r="I386" s="27">
        <f t="shared" si="25"/>
        <v>0</v>
      </c>
      <c r="J386" s="75">
        <f>NT_D!K50</f>
        <v>2501241</v>
      </c>
      <c r="K386" s="76">
        <f>NT_D!L50</f>
        <v>511155</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1437004.9</v>
      </c>
      <c r="I388" s="27">
        <f t="shared" si="25"/>
        <v>0</v>
      </c>
      <c r="J388" s="75">
        <f>NT_D!K52</f>
        <v>1353162</v>
      </c>
      <c r="K388" s="76">
        <f>NT_D!L52</f>
        <v>1075864</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7582729.14</v>
      </c>
      <c r="I389" s="27">
        <f t="shared" si="25"/>
        <v>0</v>
      </c>
      <c r="J389" s="75">
        <f>NT_D!K53</f>
        <v>6920147</v>
      </c>
      <c r="K389" s="76">
        <f>NT_D!L53</f>
        <v>5566985</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1542151.6</v>
      </c>
      <c r="I391" s="27">
        <f t="shared" si="25"/>
        <v>0</v>
      </c>
      <c r="J391" s="75">
        <f>NT_D!K55</f>
        <v>1353162</v>
      </c>
      <c r="K391" s="76">
        <f>NT_D!L55</f>
        <v>1075864</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6547152.15</v>
      </c>
      <c r="I392" s="30">
        <f t="shared" si="25"/>
        <v>0</v>
      </c>
      <c r="J392" s="229">
        <f>NT_D!K56</f>
        <v>5566985</v>
      </c>
      <c r="K392" s="230">
        <f>NT_D!L56</f>
        <v>4491121</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01.01.2014. do 31.12.2014.</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03136906; IVKOM DD</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65536" activePane="bottomLeft" state="frozen"/>
      <selection pane="topLeft" activeCell="A1" sqref="A1"/>
      <selection pane="bottomLeft" activeCell="G1" sqref="G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1</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2, a upisana veličina je 2</v>
      </c>
      <c r="D55" s="630"/>
      <c r="E55" s="630"/>
      <c r="F55" s="630"/>
      <c r="G55" s="630"/>
      <c r="H55" s="630"/>
      <c r="I55" s="630"/>
      <c r="J55" s="630"/>
      <c r="L55" s="35">
        <f>IF(Opci!C47=M55,0,1)</f>
        <v>0</v>
      </c>
      <c r="M55" s="131">
        <f>1+N55+O55</f>
        <v>2</v>
      </c>
      <c r="N55" s="132">
        <f>IF(Q55+R55+S55&gt;1,1,0)</f>
        <v>1</v>
      </c>
      <c r="O55" s="133">
        <f>IF(U55+V55+W55&gt;1,1,0)</f>
        <v>0</v>
      </c>
      <c r="P55" s="37" t="s">
        <v>1829</v>
      </c>
      <c r="Q55" s="38">
        <f>IF(Bilanca!K69&gt;32500000,1,0)</f>
        <v>1</v>
      </c>
      <c r="R55" s="38">
        <f>IF(RDG!K44&gt;65000000,1,0)</f>
        <v>0</v>
      </c>
      <c r="S55" s="39">
        <f>IF(Opci!C53&gt;50,1,0)</f>
        <v>1</v>
      </c>
      <c r="T55" s="40" t="s">
        <v>1830</v>
      </c>
      <c r="U55" s="41">
        <f>IF(Bilanca!K69&gt;130000000,1,0)</f>
        <v>0</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IVKOM@IVKOM.HR</v>
      </c>
      <c r="N59" s="201" t="str">
        <f>UPPER(TRIM(Opci!C69))</f>
        <v>BRANKICA@IVKOM.HR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\\SERVER\Company\IVKOM D.D. IVANEC\2014. - IVKOM D.D\RACUNOVODSTVO\BRANKICA\ZAVRŠNI\Javna objava\Ivkom\[GFI-POD - Ivkom 2014..xls]NT_D</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Upozorenje!!!</v>
      </c>
      <c r="C92" s="638" t="s">
        <v>2847</v>
      </c>
      <c r="D92" s="630"/>
      <c r="E92" s="630"/>
      <c r="F92" s="630"/>
      <c r="G92" s="630"/>
      <c r="H92" s="630"/>
      <c r="I92" s="630"/>
      <c r="J92" s="630"/>
      <c r="L92" s="35">
        <f>IF(OR(M92=1,N92=1,S92=1,T92=1),1,0)</f>
        <v>1</v>
      </c>
      <c r="M92" s="35">
        <f>IF(OR(Opci!C53&gt;1000,Opci!E53&gt;1000,Opci!C55&gt;1000,Opci!E55&gt;1000),1,0)</f>
        <v>0</v>
      </c>
      <c r="N92" s="35">
        <f>IF(MAX(O92:R92)&gt;15,1,0)</f>
        <v>1</v>
      </c>
      <c r="O92" s="35">
        <f>IF(Opci!C53+Opci!C55&gt;20,ABS(Opci!C53-Opci!C55)/(Opci!C53+Opci!C55)*200,0)</f>
        <v>10.526315789473683</v>
      </c>
      <c r="P92">
        <f>IF(Opci!E53+Opci!E55&gt;20,ABS(Opci!E53-Opci!E55)/(Opci!E53+Opci!E55)*200,0)</f>
        <v>18.97810218978102</v>
      </c>
      <c r="Q92">
        <f>IF(Opci!C53+Opci!E53&gt;20,ABS(Opci!C53-Opci!E53)/(Opci!C53+Opci!E53)*200,0)</f>
        <v>18.181818181818183</v>
      </c>
      <c r="R92">
        <f>IF(Opci!C55+Opci!E55,ABS(Opci!C55-Opci!E55)/(Opci!C55+Opci!E55)*200,0)</f>
        <v>26.573426573426573</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IVKOM DD</v>
      </c>
      <c r="B21" s="250"/>
      <c r="C21" s="250"/>
      <c r="D21" s="250"/>
      <c r="E21" s="250"/>
      <c r="F21" s="250"/>
      <c r="G21" s="250"/>
      <c r="H21" s="251"/>
      <c r="I21" s="252"/>
      <c r="J21" s="253"/>
    </row>
    <row r="22" spans="1:10" ht="13.5" customHeight="1">
      <c r="A22" s="255" t="str">
        <f>IF(Opci!C29&lt;&gt;"",MID(Opci!C29,1,30),"")</f>
        <v>V. Nazora 96b</v>
      </c>
      <c r="B22" s="249"/>
      <c r="C22" s="249"/>
      <c r="D22" s="249"/>
      <c r="E22" s="249"/>
      <c r="F22" s="249"/>
      <c r="G22" s="249"/>
      <c r="H22" s="80"/>
      <c r="I22" s="247"/>
      <c r="J22" s="246"/>
    </row>
    <row r="23" spans="1:10" ht="13.5" customHeight="1">
      <c r="A23" s="255" t="str">
        <f>IF(AND(Opci!C27&lt;&gt;"",Opci!F27&lt;&gt;""),MID(Opci!C27&amp;" "&amp;Opci!F27,1,30),"")</f>
        <v>42240 IVANEC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3 1 4 0 7 7 9 7 8 5 8</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2014.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15" activePane="bottomLeft" state="frozen"/>
      <selection pane="topLeft" activeCell="A1" sqref="A1"/>
      <selection pane="bottomLeft" activeCell="D1" sqref="D1"/>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11" activePane="bottomLeft" state="frozen"/>
      <selection pane="topLeft" activeCell="A1" sqref="A1"/>
      <selection pane="bottomLeft" activeCell="D1" sqref="D1"/>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2014</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2014</v>
      </c>
      <c r="P2" s="192">
        <f>IF(E5&lt;&gt;"",YEAR(E5)/100+MONTH(E5)/2+DAY(E5),0)</f>
        <v>21.64</v>
      </c>
      <c r="Q2" s="192">
        <f>IF(H5&lt;&gt;"",YEAR(H5)/100+MONTH(H5)/2+DAY(H5),0)</f>
        <v>57.14</v>
      </c>
      <c r="R2" s="192">
        <f>INT(VALUE(C17))</f>
        <v>10</v>
      </c>
      <c r="S2" s="192">
        <f>INT(VALUE(C19))/10</f>
        <v>313690.6</v>
      </c>
      <c r="T2" s="192">
        <f>INT(VALUE(C21))/50</f>
        <v>1400011.06</v>
      </c>
      <c r="U2" s="192">
        <f>INT(VALUE(C23))/100</f>
        <v>314077978.58</v>
      </c>
      <c r="V2" s="192">
        <f>LEN(Skriveni!B9)</f>
        <v>8</v>
      </c>
      <c r="W2" s="192">
        <f>INT(VALUE(C27))/100</f>
        <v>422.4</v>
      </c>
      <c r="X2" s="192">
        <f>LEN(Skriveni!B11)</f>
        <v>6</v>
      </c>
      <c r="Y2" s="192">
        <f>LEN(Skriveni!B12)</f>
        <v>13</v>
      </c>
      <c r="Z2" s="192">
        <f>INT(VALUE(C35))</f>
        <v>156</v>
      </c>
      <c r="AA2" s="192">
        <f>INT(VALUE(C39))</f>
        <v>3811</v>
      </c>
      <c r="AB2" s="192">
        <f>IF(C41="DA",1,0)</f>
        <v>0</v>
      </c>
      <c r="AC2" s="192">
        <f>IF(C43="DA",1,0)</f>
        <v>1</v>
      </c>
      <c r="AD2" s="192">
        <f>INT(VALUE(C45))</f>
        <v>2</v>
      </c>
      <c r="AE2" s="192">
        <f>INT(VALUE(C47))</f>
        <v>2</v>
      </c>
      <c r="AF2" s="192">
        <f>INT(VALUE(C49))</f>
        <v>11</v>
      </c>
      <c r="AG2" s="192">
        <f>C51*2+E51</f>
        <v>200</v>
      </c>
      <c r="AH2" s="192">
        <f>C53+2*E53+3*C55+4*E55</f>
        <v>731</v>
      </c>
      <c r="AI2" s="192">
        <f>C57*2+E57</f>
        <v>36</v>
      </c>
      <c r="AJ2" s="192">
        <f>LEN(Skriveni!B43)</f>
        <v>13</v>
      </c>
      <c r="AK2" s="220">
        <f>INT(VALUE(E43))/100</f>
        <v>417482003.89</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41640</v>
      </c>
      <c r="F5" s="402"/>
      <c r="G5" s="146" t="s">
        <v>2278</v>
      </c>
      <c r="H5" s="401">
        <v>42004</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4</v>
      </c>
      <c r="F9" s="403" t="str">
        <f>IF(E9&lt;&gt;""," "&amp;LOOKUP(E9,AB29:AB45,AC29:AC45),"")</f>
        <v> Dioničko društvo</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2014</v>
      </c>
      <c r="H14" s="450" t="s">
        <v>1010</v>
      </c>
      <c r="I14" s="451"/>
      <c r="J14" s="451"/>
      <c r="K14" s="97"/>
      <c r="L14" s="162"/>
      <c r="M14" s="162"/>
      <c r="N14" s="162"/>
    </row>
    <row r="15" spans="1:14" ht="19.5" customHeight="1">
      <c r="A15" s="452">
        <f>SUM(Skriveni!H2:H392)+SUM(P2:AK2)+SUM(Skriveni!AC2:AC101)</f>
        <v>1754300405.22</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42240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2979</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t="s">
        <v>2980</v>
      </c>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156</v>
      </c>
      <c r="D35" s="417" t="str">
        <f>IF(C35&lt;&gt;"",LOOKUP(C35,P29:P584,Q29:Q584),"Nije upisana općina!")</f>
        <v>Ivanec</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5</v>
      </c>
      <c r="D37" s="417" t="str">
        <f>IF(C37&lt;&gt;"",LOOKUP(C37,T29:T49,U29:U49),"")</f>
        <v>VARAŽDINSKA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2612</v>
      </c>
      <c r="D39" s="422" t="str">
        <f>IF(C39&lt;&gt;"",LOOKUP(C39,Djel!A5:A621,Djel!B5:B621),"Djelatnost nije upisana!")</f>
        <v>Skupljanje neopasnog otpada</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2981</v>
      </c>
      <c r="D43" s="217" t="s">
        <v>2689</v>
      </c>
      <c r="E43" s="424" t="s">
        <v>2982</v>
      </c>
      <c r="F43" s="425"/>
      <c r="G43" s="46"/>
      <c r="H43" s="124" t="s">
        <v>2981</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DA</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2</v>
      </c>
      <c r="D47" s="391" t="str">
        <f>IF(C47&lt;&gt;"",LOOKUP(C47,Sifre!A6:A8,Sifre!B6:B8),"Veličina nije upisana")</f>
        <v>Srednje veliki poduzetnik</v>
      </c>
      <c r="E47" s="392"/>
      <c r="F47" s="392"/>
      <c r="G47" s="392"/>
      <c r="H47" s="124" t="s">
        <v>2981</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11</v>
      </c>
      <c r="D49" s="391" t="str">
        <f>IF(C49&lt;&gt;"",LOOKUP(C49,AF29:AF36,AG29:AG36),"Oznaka vlasništva nije upisana")</f>
        <v>Državno vlasništvo (javno, komunalno i slično)</v>
      </c>
      <c r="E49" s="392"/>
      <c r="F49" s="392"/>
      <c r="G49" s="392"/>
      <c r="H49" s="124" t="s">
        <v>2981</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c r="F51" s="46"/>
      <c r="G51" s="97"/>
      <c r="H51" s="124" t="s">
        <v>2981</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90</v>
      </c>
      <c r="D53" s="171"/>
      <c r="E53" s="190">
        <v>75</v>
      </c>
      <c r="F53" s="171"/>
      <c r="G53" s="97"/>
      <c r="H53" s="124" t="s">
        <v>2981</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81</v>
      </c>
      <c r="D55" s="171"/>
      <c r="E55" s="191">
        <v>62</v>
      </c>
      <c r="F55" s="171"/>
      <c r="G55" s="97"/>
      <c r="H55" s="124" t="s">
        <v>2981</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2983</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2984</v>
      </c>
      <c r="D67" s="428"/>
      <c r="E67" s="429"/>
      <c r="F67" s="97"/>
      <c r="G67" s="167" t="s">
        <v>1484</v>
      </c>
      <c r="H67" s="427" t="s">
        <v>2985</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2986</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2987</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 activePane="bottomLeft" state="frozen"/>
      <selection pane="topLeft" activeCell="A1" sqref="A1"/>
      <selection pane="bottomLeft" activeCell="E1" sqref="E1"/>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31.12.2014.</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31407797858; IVKOM DD</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89754776</v>
      </c>
      <c r="L11" s="59">
        <f>L12+L19+L29+L38+L42</f>
        <v>18602403</v>
      </c>
    </row>
    <row r="12" spans="1:12" ht="13.5" customHeight="1">
      <c r="A12" s="483" t="s">
        <v>753</v>
      </c>
      <c r="B12" s="484"/>
      <c r="C12" s="484"/>
      <c r="D12" s="484"/>
      <c r="E12" s="484"/>
      <c r="F12" s="484"/>
      <c r="G12" s="484"/>
      <c r="H12" s="485"/>
      <c r="I12" s="4">
        <v>3</v>
      </c>
      <c r="J12" s="8"/>
      <c r="K12" s="59">
        <f>SUM(K13:K18)</f>
        <v>29220</v>
      </c>
      <c r="L12" s="59">
        <f>SUM(L13:L18)</f>
        <v>1073634</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v>11232</v>
      </c>
      <c r="L14" s="60">
        <v>11341</v>
      </c>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v>17988</v>
      </c>
      <c r="L18" s="60">
        <v>1062293</v>
      </c>
    </row>
    <row r="19" spans="1:12" ht="13.5" customHeight="1">
      <c r="A19" s="483" t="s">
        <v>754</v>
      </c>
      <c r="B19" s="484"/>
      <c r="C19" s="484"/>
      <c r="D19" s="484"/>
      <c r="E19" s="484"/>
      <c r="F19" s="484"/>
      <c r="G19" s="484"/>
      <c r="H19" s="485"/>
      <c r="I19" s="4">
        <v>10</v>
      </c>
      <c r="J19" s="8"/>
      <c r="K19" s="59">
        <f>SUM(K20:K28)</f>
        <v>87433680</v>
      </c>
      <c r="L19" s="59">
        <f>SUM(L20:L28)</f>
        <v>15236893</v>
      </c>
    </row>
    <row r="20" spans="1:12" ht="13.5" customHeight="1">
      <c r="A20" s="477" t="s">
        <v>1436</v>
      </c>
      <c r="B20" s="478"/>
      <c r="C20" s="478"/>
      <c r="D20" s="478"/>
      <c r="E20" s="478"/>
      <c r="F20" s="478"/>
      <c r="G20" s="478"/>
      <c r="H20" s="479"/>
      <c r="I20" s="4">
        <v>11</v>
      </c>
      <c r="J20" s="8"/>
      <c r="K20" s="60">
        <v>82444</v>
      </c>
      <c r="L20" s="60">
        <v>22817</v>
      </c>
    </row>
    <row r="21" spans="1:12" ht="13.5" customHeight="1">
      <c r="A21" s="477" t="s">
        <v>186</v>
      </c>
      <c r="B21" s="478"/>
      <c r="C21" s="478"/>
      <c r="D21" s="478"/>
      <c r="E21" s="478"/>
      <c r="F21" s="478"/>
      <c r="G21" s="478"/>
      <c r="H21" s="479"/>
      <c r="I21" s="4">
        <v>12</v>
      </c>
      <c r="J21" s="8"/>
      <c r="K21" s="60">
        <v>67331982</v>
      </c>
      <c r="L21" s="60">
        <v>2420703</v>
      </c>
    </row>
    <row r="22" spans="1:12" ht="13.5" customHeight="1">
      <c r="A22" s="477" t="s">
        <v>1437</v>
      </c>
      <c r="B22" s="478"/>
      <c r="C22" s="478"/>
      <c r="D22" s="478"/>
      <c r="E22" s="478"/>
      <c r="F22" s="478"/>
      <c r="G22" s="478"/>
      <c r="H22" s="479"/>
      <c r="I22" s="4">
        <v>13</v>
      </c>
      <c r="J22" s="8"/>
      <c r="K22" s="60">
        <v>520060</v>
      </c>
      <c r="L22" s="60">
        <v>430951</v>
      </c>
    </row>
    <row r="23" spans="1:12" ht="13.5" customHeight="1">
      <c r="A23" s="477" t="s">
        <v>1273</v>
      </c>
      <c r="B23" s="478"/>
      <c r="C23" s="478"/>
      <c r="D23" s="478"/>
      <c r="E23" s="478"/>
      <c r="F23" s="478"/>
      <c r="G23" s="478"/>
      <c r="H23" s="479"/>
      <c r="I23" s="4">
        <v>14</v>
      </c>
      <c r="J23" s="8"/>
      <c r="K23" s="60">
        <v>2272296</v>
      </c>
      <c r="L23" s="60">
        <v>3488881</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v>17226898</v>
      </c>
      <c r="L26" s="60">
        <v>8873541</v>
      </c>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2291876</v>
      </c>
      <c r="L29" s="59">
        <f>SUM(L30:L37)</f>
        <v>2291876</v>
      </c>
    </row>
    <row r="30" spans="1:12" ht="13.5" customHeight="1">
      <c r="A30" s="477" t="s">
        <v>1167</v>
      </c>
      <c r="B30" s="478"/>
      <c r="C30" s="478"/>
      <c r="D30" s="478"/>
      <c r="E30" s="478"/>
      <c r="F30" s="478"/>
      <c r="G30" s="478"/>
      <c r="H30" s="479"/>
      <c r="I30" s="4">
        <v>21</v>
      </c>
      <c r="J30" s="8"/>
      <c r="K30" s="60">
        <v>2291876</v>
      </c>
      <c r="L30" s="60">
        <v>2291876</v>
      </c>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0</v>
      </c>
      <c r="L38" s="59">
        <f>SUM(L39:L41)</f>
        <v>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c r="L41" s="60"/>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12219798</v>
      </c>
      <c r="L43" s="59">
        <f>L44+L52+L59+L67</f>
        <v>8889333</v>
      </c>
    </row>
    <row r="44" spans="1:12" ht="13.5" customHeight="1">
      <c r="A44" s="483" t="s">
        <v>319</v>
      </c>
      <c r="B44" s="484"/>
      <c r="C44" s="484"/>
      <c r="D44" s="484"/>
      <c r="E44" s="484"/>
      <c r="F44" s="484"/>
      <c r="G44" s="484"/>
      <c r="H44" s="485"/>
      <c r="I44" s="4">
        <v>35</v>
      </c>
      <c r="J44" s="8"/>
      <c r="K44" s="59">
        <f>SUM(K45:K51)</f>
        <v>818375</v>
      </c>
      <c r="L44" s="59">
        <f>SUM(L45:L51)</f>
        <v>311451</v>
      </c>
    </row>
    <row r="45" spans="1:12" ht="13.5" customHeight="1">
      <c r="A45" s="477" t="s">
        <v>1485</v>
      </c>
      <c r="B45" s="478"/>
      <c r="C45" s="478"/>
      <c r="D45" s="478"/>
      <c r="E45" s="478"/>
      <c r="F45" s="478"/>
      <c r="G45" s="478"/>
      <c r="H45" s="479"/>
      <c r="I45" s="4">
        <v>36</v>
      </c>
      <c r="J45" s="8"/>
      <c r="K45" s="60">
        <v>818375</v>
      </c>
      <c r="L45" s="60">
        <v>272880</v>
      </c>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v>38571</v>
      </c>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c r="K52" s="59">
        <f>SUM(K53:K58)</f>
        <v>5834438</v>
      </c>
      <c r="L52" s="59">
        <f>SUM(L53:L58)</f>
        <v>4086761</v>
      </c>
    </row>
    <row r="53" spans="1:12" ht="13.5" customHeight="1">
      <c r="A53" s="477" t="s">
        <v>2639</v>
      </c>
      <c r="B53" s="478"/>
      <c r="C53" s="478"/>
      <c r="D53" s="478"/>
      <c r="E53" s="478"/>
      <c r="F53" s="478"/>
      <c r="G53" s="478"/>
      <c r="H53" s="479"/>
      <c r="I53" s="4">
        <v>44</v>
      </c>
      <c r="J53" s="8"/>
      <c r="K53" s="60">
        <v>278629</v>
      </c>
      <c r="L53" s="60">
        <v>1396914</v>
      </c>
    </row>
    <row r="54" spans="1:12" ht="13.5" customHeight="1">
      <c r="A54" s="477" t="s">
        <v>2640</v>
      </c>
      <c r="B54" s="478"/>
      <c r="C54" s="478"/>
      <c r="D54" s="478"/>
      <c r="E54" s="478"/>
      <c r="F54" s="478"/>
      <c r="G54" s="478"/>
      <c r="H54" s="479"/>
      <c r="I54" s="4">
        <v>45</v>
      </c>
      <c r="J54" s="8"/>
      <c r="K54" s="60">
        <v>4432733</v>
      </c>
      <c r="L54" s="60">
        <v>2097361</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c r="L56" s="60"/>
    </row>
    <row r="57" spans="1:12" ht="13.5" customHeight="1">
      <c r="A57" s="477" t="s">
        <v>663</v>
      </c>
      <c r="B57" s="478"/>
      <c r="C57" s="478"/>
      <c r="D57" s="478"/>
      <c r="E57" s="478"/>
      <c r="F57" s="478"/>
      <c r="G57" s="478"/>
      <c r="H57" s="479"/>
      <c r="I57" s="4">
        <v>48</v>
      </c>
      <c r="J57" s="8"/>
      <c r="K57" s="60">
        <v>58934</v>
      </c>
      <c r="L57" s="60">
        <v>13860</v>
      </c>
    </row>
    <row r="58" spans="1:12" ht="13.5" customHeight="1">
      <c r="A58" s="477" t="s">
        <v>664</v>
      </c>
      <c r="B58" s="478"/>
      <c r="C58" s="478"/>
      <c r="D58" s="478"/>
      <c r="E58" s="478"/>
      <c r="F58" s="478"/>
      <c r="G58" s="478"/>
      <c r="H58" s="479"/>
      <c r="I58" s="4">
        <v>49</v>
      </c>
      <c r="J58" s="8"/>
      <c r="K58" s="60">
        <v>1064142</v>
      </c>
      <c r="L58" s="60">
        <v>578626</v>
      </c>
    </row>
    <row r="59" spans="1:12" ht="13.5" customHeight="1">
      <c r="A59" s="483" t="s">
        <v>321</v>
      </c>
      <c r="B59" s="484"/>
      <c r="C59" s="484"/>
      <c r="D59" s="484"/>
      <c r="E59" s="484"/>
      <c r="F59" s="484"/>
      <c r="G59" s="484"/>
      <c r="H59" s="485"/>
      <c r="I59" s="4">
        <v>50</v>
      </c>
      <c r="J59" s="8"/>
      <c r="K59" s="59">
        <f>SUM(K60:K66)</f>
        <v>0</v>
      </c>
      <c r="L59" s="59">
        <f>SUM(L60:L66)</f>
        <v>0</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c r="L65" s="60"/>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c r="K67" s="60">
        <v>5566985</v>
      </c>
      <c r="L67" s="60">
        <v>4491121</v>
      </c>
    </row>
    <row r="68" spans="1:12" ht="13.5" customHeight="1">
      <c r="A68" s="499" t="s">
        <v>2848</v>
      </c>
      <c r="B68" s="500"/>
      <c r="C68" s="500"/>
      <c r="D68" s="500"/>
      <c r="E68" s="500"/>
      <c r="F68" s="500"/>
      <c r="G68" s="500"/>
      <c r="H68" s="501"/>
      <c r="I68" s="4">
        <v>59</v>
      </c>
      <c r="J68" s="8"/>
      <c r="K68" s="60">
        <v>58707</v>
      </c>
      <c r="L68" s="60">
        <v>40787</v>
      </c>
    </row>
    <row r="69" spans="1:12" ht="13.5" customHeight="1">
      <c r="A69" s="499" t="s">
        <v>2298</v>
      </c>
      <c r="B69" s="500"/>
      <c r="C69" s="500"/>
      <c r="D69" s="500"/>
      <c r="E69" s="500"/>
      <c r="F69" s="500"/>
      <c r="G69" s="500"/>
      <c r="H69" s="501"/>
      <c r="I69" s="4">
        <v>60</v>
      </c>
      <c r="J69" s="8"/>
      <c r="K69" s="59">
        <f>K10+K11+K43+K68</f>
        <v>102033281</v>
      </c>
      <c r="L69" s="59">
        <f>L10+L11+L43+L68</f>
        <v>27532523</v>
      </c>
    </row>
    <row r="70" spans="1:12" ht="13.5" customHeight="1">
      <c r="A70" s="519" t="s">
        <v>309</v>
      </c>
      <c r="B70" s="520"/>
      <c r="C70" s="520"/>
      <c r="D70" s="520"/>
      <c r="E70" s="520"/>
      <c r="F70" s="520"/>
      <c r="G70" s="520"/>
      <c r="H70" s="521"/>
      <c r="I70" s="5">
        <v>61</v>
      </c>
      <c r="J70" s="9"/>
      <c r="K70" s="61">
        <v>30145380</v>
      </c>
      <c r="L70" s="61">
        <v>10512810</v>
      </c>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c r="K72" s="79">
        <f>K73+K74+K75+K81+K82+K85+K88</f>
        <v>40776249</v>
      </c>
      <c r="L72" s="79">
        <f>L73+L74+L75+L81+L82+L85+L88</f>
        <v>14041804</v>
      </c>
    </row>
    <row r="73" spans="1:12" ht="13.5" customHeight="1">
      <c r="A73" s="483" t="s">
        <v>2741</v>
      </c>
      <c r="B73" s="484"/>
      <c r="C73" s="484"/>
      <c r="D73" s="484"/>
      <c r="E73" s="484"/>
      <c r="F73" s="484"/>
      <c r="G73" s="484"/>
      <c r="H73" s="485"/>
      <c r="I73" s="4">
        <v>63</v>
      </c>
      <c r="J73" s="8"/>
      <c r="K73" s="60">
        <v>30145380</v>
      </c>
      <c r="L73" s="60">
        <v>10512810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c r="K75" s="59">
        <f>K76+K77-K78+K79+K80</f>
        <v>10077422</v>
      </c>
      <c r="L75" s="59">
        <f>L76+L77-L78+L79+L80</f>
        <v>2942503</v>
      </c>
    </row>
    <row r="76" spans="1:12" ht="13.5" customHeight="1">
      <c r="A76" s="477" t="s">
        <v>2744</v>
      </c>
      <c r="B76" s="478"/>
      <c r="C76" s="478"/>
      <c r="D76" s="478"/>
      <c r="E76" s="478"/>
      <c r="F76" s="478"/>
      <c r="G76" s="478"/>
      <c r="H76" s="479"/>
      <c r="I76" s="4">
        <v>66</v>
      </c>
      <c r="J76" s="8"/>
      <c r="K76" s="60">
        <v>44217</v>
      </c>
      <c r="L76" s="60">
        <v>46309</v>
      </c>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v>10033205</v>
      </c>
      <c r="L80" s="60">
        <v>2896194</v>
      </c>
    </row>
    <row r="81" spans="1:12" ht="13.5" customHeight="1">
      <c r="A81" s="483" t="s">
        <v>1542</v>
      </c>
      <c r="B81" s="484"/>
      <c r="C81" s="484"/>
      <c r="D81" s="484"/>
      <c r="E81" s="484"/>
      <c r="F81" s="484"/>
      <c r="G81" s="484"/>
      <c r="H81" s="485"/>
      <c r="I81" s="4">
        <v>71</v>
      </c>
      <c r="J81" s="8"/>
      <c r="K81" s="60">
        <v>348367</v>
      </c>
      <c r="L81" s="60">
        <v>348367</v>
      </c>
    </row>
    <row r="82" spans="1:12" ht="13.5" customHeight="1">
      <c r="A82" s="483" t="s">
        <v>2295</v>
      </c>
      <c r="B82" s="484"/>
      <c r="C82" s="484"/>
      <c r="D82" s="484"/>
      <c r="E82" s="484"/>
      <c r="F82" s="484"/>
      <c r="G82" s="484"/>
      <c r="H82" s="485"/>
      <c r="I82" s="4">
        <v>72</v>
      </c>
      <c r="J82" s="8"/>
      <c r="K82" s="59">
        <f>K83-K84</f>
        <v>163229</v>
      </c>
      <c r="L82" s="59">
        <f>L83-L84</f>
        <v>202987</v>
      </c>
    </row>
    <row r="83" spans="1:12" ht="13.5" customHeight="1">
      <c r="A83" s="486" t="s">
        <v>2824</v>
      </c>
      <c r="B83" s="487"/>
      <c r="C83" s="487"/>
      <c r="D83" s="487"/>
      <c r="E83" s="487"/>
      <c r="F83" s="487"/>
      <c r="G83" s="487"/>
      <c r="H83" s="488"/>
      <c r="I83" s="4">
        <v>73</v>
      </c>
      <c r="J83" s="8"/>
      <c r="K83" s="60">
        <v>163229</v>
      </c>
      <c r="L83" s="60">
        <v>202987</v>
      </c>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41851</v>
      </c>
      <c r="L85" s="59">
        <f>L86-L87</f>
        <v>35137</v>
      </c>
    </row>
    <row r="86" spans="1:12" ht="13.5" customHeight="1">
      <c r="A86" s="486" t="s">
        <v>2826</v>
      </c>
      <c r="B86" s="487"/>
      <c r="C86" s="487"/>
      <c r="D86" s="487"/>
      <c r="E86" s="487"/>
      <c r="F86" s="487"/>
      <c r="G86" s="487"/>
      <c r="H86" s="488"/>
      <c r="I86" s="4">
        <v>76</v>
      </c>
      <c r="J86" s="8"/>
      <c r="K86" s="60">
        <v>41851</v>
      </c>
      <c r="L86" s="60">
        <v>35137</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c r="K93" s="59">
        <f>SUM(K94:K102)</f>
        <v>140638</v>
      </c>
      <c r="L93" s="59">
        <f>SUM(L94:L102)</f>
        <v>0</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v>140638</v>
      </c>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5477197</v>
      </c>
      <c r="L103" s="59">
        <f>SUM(L104:L115)</f>
        <v>3245953</v>
      </c>
    </row>
    <row r="104" spans="1:12" ht="13.5" customHeight="1">
      <c r="A104" s="477" t="s">
        <v>2702</v>
      </c>
      <c r="B104" s="478"/>
      <c r="C104" s="478"/>
      <c r="D104" s="478"/>
      <c r="E104" s="478"/>
      <c r="F104" s="478"/>
      <c r="G104" s="478"/>
      <c r="H104" s="479"/>
      <c r="I104" s="4">
        <v>94</v>
      </c>
      <c r="J104" s="8"/>
      <c r="K104" s="60"/>
      <c r="L104" s="60"/>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v>180488</v>
      </c>
      <c r="L106" s="60">
        <v>125973</v>
      </c>
    </row>
    <row r="107" spans="1:12" ht="13.5" customHeight="1">
      <c r="A107" s="477" t="s">
        <v>179</v>
      </c>
      <c r="B107" s="478"/>
      <c r="C107" s="478"/>
      <c r="D107" s="478"/>
      <c r="E107" s="478"/>
      <c r="F107" s="478"/>
      <c r="G107" s="478"/>
      <c r="H107" s="479"/>
      <c r="I107" s="4">
        <v>97</v>
      </c>
      <c r="J107" s="8"/>
      <c r="K107" s="60">
        <v>656295</v>
      </c>
      <c r="L107" s="60">
        <v>1593</v>
      </c>
    </row>
    <row r="108" spans="1:12" ht="13.5" customHeight="1">
      <c r="A108" s="477" t="s">
        <v>180</v>
      </c>
      <c r="B108" s="478"/>
      <c r="C108" s="478"/>
      <c r="D108" s="478"/>
      <c r="E108" s="478"/>
      <c r="F108" s="478"/>
      <c r="G108" s="478"/>
      <c r="H108" s="479"/>
      <c r="I108" s="4">
        <v>98</v>
      </c>
      <c r="J108" s="8"/>
      <c r="K108" s="60">
        <v>2777632</v>
      </c>
      <c r="L108" s="60">
        <v>857008</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381570</v>
      </c>
      <c r="L111" s="60">
        <v>354807</v>
      </c>
    </row>
    <row r="112" spans="1:12" ht="13.5" customHeight="1">
      <c r="A112" s="477" t="s">
        <v>314</v>
      </c>
      <c r="B112" s="478"/>
      <c r="C112" s="478"/>
      <c r="D112" s="478"/>
      <c r="E112" s="478"/>
      <c r="F112" s="478"/>
      <c r="G112" s="478"/>
      <c r="H112" s="479"/>
      <c r="I112" s="4">
        <v>102</v>
      </c>
      <c r="J112" s="8"/>
      <c r="K112" s="60">
        <v>232790</v>
      </c>
      <c r="L112" s="60">
        <v>430661</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v>1248422</v>
      </c>
      <c r="L115" s="60">
        <v>1475911</v>
      </c>
    </row>
    <row r="116" spans="1:12" ht="13.5" customHeight="1">
      <c r="A116" s="499" t="s">
        <v>1525</v>
      </c>
      <c r="B116" s="500"/>
      <c r="C116" s="500"/>
      <c r="D116" s="500"/>
      <c r="E116" s="500"/>
      <c r="F116" s="500"/>
      <c r="G116" s="500"/>
      <c r="H116" s="501"/>
      <c r="I116" s="4">
        <v>106</v>
      </c>
      <c r="J116" s="8"/>
      <c r="K116" s="60">
        <v>55639197</v>
      </c>
      <c r="L116" s="60">
        <v>10244766</v>
      </c>
    </row>
    <row r="117" spans="1:12" ht="13.5" customHeight="1">
      <c r="A117" s="499" t="s">
        <v>1271</v>
      </c>
      <c r="B117" s="500"/>
      <c r="C117" s="500"/>
      <c r="D117" s="500"/>
      <c r="E117" s="500"/>
      <c r="F117" s="500"/>
      <c r="G117" s="500"/>
      <c r="H117" s="501"/>
      <c r="I117" s="4">
        <v>107</v>
      </c>
      <c r="J117" s="8"/>
      <c r="K117" s="59">
        <f>K72+K89+K93+K103+K116</f>
        <v>102033281</v>
      </c>
      <c r="L117" s="59">
        <f>L72+L89+L93+L103+L116</f>
        <v>27532523</v>
      </c>
    </row>
    <row r="118" spans="1:12" ht="13.5" customHeight="1">
      <c r="A118" s="502" t="s">
        <v>2849</v>
      </c>
      <c r="B118" s="503"/>
      <c r="C118" s="503"/>
      <c r="D118" s="503"/>
      <c r="E118" s="503"/>
      <c r="F118" s="503"/>
      <c r="G118" s="503"/>
      <c r="H118" s="504"/>
      <c r="I118" s="5">
        <v>108</v>
      </c>
      <c r="J118" s="8"/>
      <c r="K118" s="61">
        <v>30145380</v>
      </c>
      <c r="L118" s="61">
        <v>10512810</v>
      </c>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tabSelected="1" zoomScalePageLayoutView="0" workbookViewId="0" topLeftCell="A1">
      <pane ySplit="2" topLeftCell="A38" activePane="bottomLeft" state="frozen"/>
      <selection pane="topLeft" activeCell="A1" sqref="A1"/>
      <selection pane="bottomLeft" activeCell="K8" sqref="K8"/>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01.01.2014. do 31.12.2014.</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31407797858; IVKOM DD</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17113146</v>
      </c>
      <c r="L9" s="79">
        <f>SUM(L10:L11)</f>
        <v>11405704</v>
      </c>
    </row>
    <row r="10" spans="1:12" s="3" customFormat="1" ht="13.5" customHeight="1">
      <c r="A10" s="499" t="s">
        <v>1722</v>
      </c>
      <c r="B10" s="500"/>
      <c r="C10" s="500"/>
      <c r="D10" s="500"/>
      <c r="E10" s="500"/>
      <c r="F10" s="500"/>
      <c r="G10" s="500"/>
      <c r="H10" s="501"/>
      <c r="I10" s="4">
        <v>112</v>
      </c>
      <c r="J10" s="8"/>
      <c r="K10" s="60">
        <v>13727291</v>
      </c>
      <c r="L10" s="60">
        <v>10410412</v>
      </c>
    </row>
    <row r="11" spans="1:12" s="3" customFormat="1" ht="13.5" customHeight="1">
      <c r="A11" s="499" t="s">
        <v>322</v>
      </c>
      <c r="B11" s="500"/>
      <c r="C11" s="500"/>
      <c r="D11" s="500"/>
      <c r="E11" s="500"/>
      <c r="F11" s="500"/>
      <c r="G11" s="500"/>
      <c r="H11" s="501"/>
      <c r="I11" s="4">
        <v>113</v>
      </c>
      <c r="J11" s="8"/>
      <c r="K11" s="60">
        <v>3385855</v>
      </c>
      <c r="L11" s="60">
        <v>995292</v>
      </c>
    </row>
    <row r="12" spans="1:12" s="3" customFormat="1" ht="13.5" customHeight="1">
      <c r="A12" s="499" t="s">
        <v>669</v>
      </c>
      <c r="B12" s="500"/>
      <c r="C12" s="500"/>
      <c r="D12" s="500"/>
      <c r="E12" s="500"/>
      <c r="F12" s="500"/>
      <c r="G12" s="500"/>
      <c r="H12" s="501"/>
      <c r="I12" s="4">
        <v>114</v>
      </c>
      <c r="J12" s="8"/>
      <c r="K12" s="59">
        <f>K13+K14+K18+K22+K23+K24+K27+K28</f>
        <v>17320357</v>
      </c>
      <c r="L12" s="59">
        <f>L13+L14+L18+L22+L23+L24+L27+L28</f>
        <v>11570772</v>
      </c>
    </row>
    <row r="13" spans="1:12" s="3" customFormat="1" ht="15" customHeight="1">
      <c r="A13" s="499" t="s">
        <v>323</v>
      </c>
      <c r="B13" s="500"/>
      <c r="C13" s="500"/>
      <c r="D13" s="500"/>
      <c r="E13" s="500"/>
      <c r="F13" s="500"/>
      <c r="G13" s="500"/>
      <c r="H13" s="501"/>
      <c r="I13" s="4">
        <v>115</v>
      </c>
      <c r="J13" s="8"/>
      <c r="K13" s="60"/>
      <c r="L13" s="60"/>
    </row>
    <row r="14" spans="1:12" s="3" customFormat="1" ht="13.5" customHeight="1">
      <c r="A14" s="499" t="s">
        <v>1268</v>
      </c>
      <c r="B14" s="500"/>
      <c r="C14" s="500"/>
      <c r="D14" s="500"/>
      <c r="E14" s="500"/>
      <c r="F14" s="500"/>
      <c r="G14" s="500"/>
      <c r="H14" s="501"/>
      <c r="I14" s="4">
        <v>116</v>
      </c>
      <c r="J14" s="8"/>
      <c r="K14" s="59">
        <f>SUM(K15:K17)</f>
        <v>4794095</v>
      </c>
      <c r="L14" s="59">
        <f>SUM(L15:L17)</f>
        <v>3212226</v>
      </c>
    </row>
    <row r="15" spans="1:12" s="3" customFormat="1" ht="13.5" customHeight="1">
      <c r="A15" s="477" t="s">
        <v>2463</v>
      </c>
      <c r="B15" s="478"/>
      <c r="C15" s="478"/>
      <c r="D15" s="478"/>
      <c r="E15" s="478"/>
      <c r="F15" s="478"/>
      <c r="G15" s="478"/>
      <c r="H15" s="479"/>
      <c r="I15" s="4">
        <v>117</v>
      </c>
      <c r="J15" s="8"/>
      <c r="K15" s="60">
        <v>2528237</v>
      </c>
      <c r="L15" s="60">
        <v>1567085</v>
      </c>
    </row>
    <row r="16" spans="1:12" s="3" customFormat="1" ht="13.5" customHeight="1">
      <c r="A16" s="477" t="s">
        <v>2464</v>
      </c>
      <c r="B16" s="478"/>
      <c r="C16" s="478"/>
      <c r="D16" s="478"/>
      <c r="E16" s="478"/>
      <c r="F16" s="478"/>
      <c r="G16" s="478"/>
      <c r="H16" s="479"/>
      <c r="I16" s="4">
        <v>118</v>
      </c>
      <c r="J16" s="8"/>
      <c r="K16" s="60">
        <v>392546</v>
      </c>
      <c r="L16" s="60">
        <v>338033</v>
      </c>
    </row>
    <row r="17" spans="1:12" s="3" customFormat="1" ht="13.5" customHeight="1">
      <c r="A17" s="477" t="s">
        <v>2663</v>
      </c>
      <c r="B17" s="478"/>
      <c r="C17" s="478"/>
      <c r="D17" s="478"/>
      <c r="E17" s="478"/>
      <c r="F17" s="478"/>
      <c r="G17" s="478"/>
      <c r="H17" s="479"/>
      <c r="I17" s="4">
        <v>119</v>
      </c>
      <c r="J17" s="8"/>
      <c r="K17" s="60">
        <v>1873312</v>
      </c>
      <c r="L17" s="60">
        <v>1307108</v>
      </c>
    </row>
    <row r="18" spans="1:12" s="3" customFormat="1" ht="13.5" customHeight="1">
      <c r="A18" s="499" t="s">
        <v>1269</v>
      </c>
      <c r="B18" s="500"/>
      <c r="C18" s="500"/>
      <c r="D18" s="500"/>
      <c r="E18" s="500"/>
      <c r="F18" s="500"/>
      <c r="G18" s="500"/>
      <c r="H18" s="501"/>
      <c r="I18" s="4">
        <v>120</v>
      </c>
      <c r="J18" s="8"/>
      <c r="K18" s="59">
        <f>SUM(K19:K21)</f>
        <v>7350111</v>
      </c>
      <c r="L18" s="59">
        <f>SUM(L19:L21)</f>
        <v>5509260</v>
      </c>
    </row>
    <row r="19" spans="1:12" s="3" customFormat="1" ht="13.5" customHeight="1">
      <c r="A19" s="477" t="s">
        <v>2664</v>
      </c>
      <c r="B19" s="478"/>
      <c r="C19" s="478"/>
      <c r="D19" s="478"/>
      <c r="E19" s="478"/>
      <c r="F19" s="478"/>
      <c r="G19" s="478"/>
      <c r="H19" s="479"/>
      <c r="I19" s="4">
        <v>121</v>
      </c>
      <c r="J19" s="8"/>
      <c r="K19" s="60">
        <v>5100712</v>
      </c>
      <c r="L19" s="60">
        <v>3775636</v>
      </c>
    </row>
    <row r="20" spans="1:12" s="3" customFormat="1" ht="13.5" customHeight="1">
      <c r="A20" s="477" t="s">
        <v>2665</v>
      </c>
      <c r="B20" s="478"/>
      <c r="C20" s="478"/>
      <c r="D20" s="478"/>
      <c r="E20" s="478"/>
      <c r="F20" s="478"/>
      <c r="G20" s="478"/>
      <c r="H20" s="479"/>
      <c r="I20" s="4">
        <v>122</v>
      </c>
      <c r="J20" s="8"/>
      <c r="K20" s="60">
        <v>1274059</v>
      </c>
      <c r="L20" s="60">
        <v>944607</v>
      </c>
    </row>
    <row r="21" spans="1:12" s="3" customFormat="1" ht="13.5" customHeight="1">
      <c r="A21" s="477" t="s">
        <v>2666</v>
      </c>
      <c r="B21" s="478"/>
      <c r="C21" s="478"/>
      <c r="D21" s="478"/>
      <c r="E21" s="478"/>
      <c r="F21" s="478"/>
      <c r="G21" s="478"/>
      <c r="H21" s="479"/>
      <c r="I21" s="4">
        <v>123</v>
      </c>
      <c r="J21" s="8"/>
      <c r="K21" s="60">
        <v>975340</v>
      </c>
      <c r="L21" s="60">
        <v>789017</v>
      </c>
    </row>
    <row r="22" spans="1:12" s="3" customFormat="1" ht="13.5" customHeight="1">
      <c r="A22" s="499" t="s">
        <v>324</v>
      </c>
      <c r="B22" s="500"/>
      <c r="C22" s="500"/>
      <c r="D22" s="500"/>
      <c r="E22" s="500"/>
      <c r="F22" s="500"/>
      <c r="G22" s="500"/>
      <c r="H22" s="501"/>
      <c r="I22" s="4">
        <v>124</v>
      </c>
      <c r="J22" s="8"/>
      <c r="K22" s="60">
        <v>2343214</v>
      </c>
      <c r="L22" s="60">
        <v>753950</v>
      </c>
    </row>
    <row r="23" spans="1:12" s="3" customFormat="1" ht="13.5" customHeight="1">
      <c r="A23" s="499" t="s">
        <v>325</v>
      </c>
      <c r="B23" s="500"/>
      <c r="C23" s="500"/>
      <c r="D23" s="500"/>
      <c r="E23" s="500"/>
      <c r="F23" s="500"/>
      <c r="G23" s="500"/>
      <c r="H23" s="501"/>
      <c r="I23" s="4">
        <v>125</v>
      </c>
      <c r="J23" s="8"/>
      <c r="K23" s="60">
        <v>2397609</v>
      </c>
      <c r="L23" s="60">
        <v>1584132</v>
      </c>
    </row>
    <row r="24" spans="1:12" s="3" customFormat="1" ht="13.5" customHeight="1">
      <c r="A24" s="499" t="s">
        <v>1270</v>
      </c>
      <c r="B24" s="500"/>
      <c r="C24" s="500"/>
      <c r="D24" s="500"/>
      <c r="E24" s="500"/>
      <c r="F24" s="500"/>
      <c r="G24" s="500"/>
      <c r="H24" s="501"/>
      <c r="I24" s="4">
        <v>126</v>
      </c>
      <c r="J24" s="8"/>
      <c r="K24" s="59">
        <f>SUM(K25:K26)</f>
        <v>327229</v>
      </c>
      <c r="L24" s="59">
        <f>SUM(L25:L26)</f>
        <v>432513</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v>327229</v>
      </c>
      <c r="L26" s="60">
        <v>432513</v>
      </c>
    </row>
    <row r="27" spans="1:12" s="3" customFormat="1" ht="13.5" customHeight="1">
      <c r="A27" s="499" t="s">
        <v>326</v>
      </c>
      <c r="B27" s="500"/>
      <c r="C27" s="500"/>
      <c r="D27" s="500"/>
      <c r="E27" s="500"/>
      <c r="F27" s="500"/>
      <c r="G27" s="500"/>
      <c r="H27" s="501"/>
      <c r="I27" s="4">
        <v>129</v>
      </c>
      <c r="J27" s="8"/>
      <c r="K27" s="60"/>
      <c r="L27" s="60"/>
    </row>
    <row r="28" spans="1:12" s="3" customFormat="1" ht="13.5" customHeight="1">
      <c r="A28" s="499" t="s">
        <v>1079</v>
      </c>
      <c r="B28" s="500"/>
      <c r="C28" s="500"/>
      <c r="D28" s="500"/>
      <c r="E28" s="500"/>
      <c r="F28" s="500"/>
      <c r="G28" s="500"/>
      <c r="H28" s="501"/>
      <c r="I28" s="4">
        <v>130</v>
      </c>
      <c r="J28" s="8"/>
      <c r="K28" s="60">
        <v>108099</v>
      </c>
      <c r="L28" s="60">
        <v>78691</v>
      </c>
    </row>
    <row r="29" spans="1:12" s="3" customFormat="1" ht="13.5" customHeight="1">
      <c r="A29" s="499" t="s">
        <v>53</v>
      </c>
      <c r="B29" s="500"/>
      <c r="C29" s="500"/>
      <c r="D29" s="500"/>
      <c r="E29" s="500"/>
      <c r="F29" s="500"/>
      <c r="G29" s="500"/>
      <c r="H29" s="501"/>
      <c r="I29" s="4">
        <v>131</v>
      </c>
      <c r="J29" s="8"/>
      <c r="K29" s="59">
        <f>SUM(K30:K34)</f>
        <v>352749</v>
      </c>
      <c r="L29" s="59">
        <f>SUM(L30:L34)</f>
        <v>216023</v>
      </c>
    </row>
    <row r="30" spans="1:12" s="3" customFormat="1" ht="27.75" customHeight="1">
      <c r="A30" s="499" t="s">
        <v>82</v>
      </c>
      <c r="B30" s="500"/>
      <c r="C30" s="500"/>
      <c r="D30" s="500"/>
      <c r="E30" s="500"/>
      <c r="F30" s="500"/>
      <c r="G30" s="500"/>
      <c r="H30" s="501"/>
      <c r="I30" s="4">
        <v>132</v>
      </c>
      <c r="J30" s="8"/>
      <c r="K30" s="60">
        <v>122855</v>
      </c>
      <c r="L30" s="60">
        <v>78016</v>
      </c>
    </row>
    <row r="31" spans="1:12" s="3" customFormat="1" ht="27.75" customHeight="1">
      <c r="A31" s="499" t="s">
        <v>215</v>
      </c>
      <c r="B31" s="500"/>
      <c r="C31" s="500"/>
      <c r="D31" s="500"/>
      <c r="E31" s="500"/>
      <c r="F31" s="500"/>
      <c r="G31" s="500"/>
      <c r="H31" s="501"/>
      <c r="I31" s="4">
        <v>133</v>
      </c>
      <c r="J31" s="8"/>
      <c r="K31" s="60">
        <v>229894</v>
      </c>
      <c r="L31" s="60">
        <v>138007</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c r="K35" s="59">
        <f>SUM(K36:K39)</f>
        <v>92564</v>
      </c>
      <c r="L35" s="59">
        <f>SUM(L36:L39)</f>
        <v>11102</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v>92564</v>
      </c>
      <c r="L37" s="60">
        <v>11102</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v>3993</v>
      </c>
      <c r="L42" s="60">
        <v>14100</v>
      </c>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c r="K44" s="59">
        <f>K9+K29+K40+K42</f>
        <v>17469888</v>
      </c>
      <c r="L44" s="59">
        <f>L9+L29+L40+L42</f>
        <v>11635827</v>
      </c>
    </row>
    <row r="45" spans="1:12" s="3" customFormat="1" ht="13.5" customHeight="1">
      <c r="A45" s="499" t="s">
        <v>56</v>
      </c>
      <c r="B45" s="500"/>
      <c r="C45" s="500"/>
      <c r="D45" s="500"/>
      <c r="E45" s="500"/>
      <c r="F45" s="500"/>
      <c r="G45" s="500"/>
      <c r="H45" s="501"/>
      <c r="I45" s="4">
        <v>147</v>
      </c>
      <c r="J45" s="8"/>
      <c r="K45" s="59">
        <f>K12+K35+K41+K43</f>
        <v>17412921</v>
      </c>
      <c r="L45" s="59">
        <f>L12+L35+L41+L43</f>
        <v>11581874</v>
      </c>
    </row>
    <row r="46" spans="1:12" s="3" customFormat="1" ht="13.5" customHeight="1">
      <c r="A46" s="499" t="s">
        <v>1825</v>
      </c>
      <c r="B46" s="500"/>
      <c r="C46" s="500"/>
      <c r="D46" s="500"/>
      <c r="E46" s="500"/>
      <c r="F46" s="500"/>
      <c r="G46" s="500"/>
      <c r="H46" s="501"/>
      <c r="I46" s="4">
        <v>148</v>
      </c>
      <c r="J46" s="8"/>
      <c r="K46" s="59">
        <f>K44-K45</f>
        <v>56967</v>
      </c>
      <c r="L46" s="59">
        <f>L44-L45</f>
        <v>53953</v>
      </c>
    </row>
    <row r="47" spans="1:12" s="3" customFormat="1" ht="13.5" customHeight="1">
      <c r="A47" s="486" t="s">
        <v>58</v>
      </c>
      <c r="B47" s="487"/>
      <c r="C47" s="487"/>
      <c r="D47" s="487"/>
      <c r="E47" s="487"/>
      <c r="F47" s="487"/>
      <c r="G47" s="487"/>
      <c r="H47" s="488"/>
      <c r="I47" s="4">
        <v>149</v>
      </c>
      <c r="J47" s="8"/>
      <c r="K47" s="59">
        <f>IF(K44&gt;K45,K44-K45,0)</f>
        <v>56967</v>
      </c>
      <c r="L47" s="59">
        <f>IF(L44&gt;L45,L44-L45,0)</f>
        <v>53953</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c r="K49" s="60">
        <v>15116</v>
      </c>
      <c r="L49" s="60">
        <v>18816</v>
      </c>
    </row>
    <row r="50" spans="1:12" s="3" customFormat="1" ht="13.5" customHeight="1">
      <c r="A50" s="499" t="s">
        <v>1826</v>
      </c>
      <c r="B50" s="500"/>
      <c r="C50" s="500"/>
      <c r="D50" s="500"/>
      <c r="E50" s="500"/>
      <c r="F50" s="500"/>
      <c r="G50" s="500"/>
      <c r="H50" s="501"/>
      <c r="I50" s="4">
        <v>152</v>
      </c>
      <c r="J50" s="8"/>
      <c r="K50" s="59">
        <f>K46-K49</f>
        <v>41851</v>
      </c>
      <c r="L50" s="59">
        <f>L46-L49</f>
        <v>35137</v>
      </c>
    </row>
    <row r="51" spans="1:12" s="3" customFormat="1" ht="13.5" customHeight="1">
      <c r="A51" s="486" t="s">
        <v>1021</v>
      </c>
      <c r="B51" s="487"/>
      <c r="C51" s="487"/>
      <c r="D51" s="487"/>
      <c r="E51" s="487"/>
      <c r="F51" s="487"/>
      <c r="G51" s="487"/>
      <c r="H51" s="488"/>
      <c r="I51" s="4">
        <v>153</v>
      </c>
      <c r="J51" s="8"/>
      <c r="K51" s="59">
        <f>IF(K50&gt;0,K50,0)</f>
        <v>41851</v>
      </c>
      <c r="L51" s="59">
        <f>IF(L50&gt;0,L50,0)</f>
        <v>35137</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6"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01.01.2014. do 31.12.2014.</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31407797858; IVKOM DD</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3" activePane="bottomLeft" state="frozen"/>
      <selection pane="topLeft" activeCell="A1" sqref="A1"/>
      <selection pane="bottomLeft" activeCell="H1" sqref="H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31407797858; IVKOM DD</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99" t="s">
        <v>218</v>
      </c>
      <c r="B16" s="500"/>
      <c r="C16" s="500"/>
      <c r="D16" s="500"/>
      <c r="E16" s="500"/>
      <c r="F16" s="500"/>
      <c r="G16" s="500"/>
      <c r="H16" s="500"/>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99" t="s">
        <v>219</v>
      </c>
      <c r="B21" s="500"/>
      <c r="C21" s="500"/>
      <c r="D21" s="500"/>
      <c r="E21" s="500"/>
      <c r="F21" s="500"/>
      <c r="G21" s="500"/>
      <c r="H21" s="500"/>
      <c r="I21" s="4">
        <v>12</v>
      </c>
      <c r="J21" s="139"/>
      <c r="K21" s="54">
        <f>SUM(K17:K20)</f>
        <v>0</v>
      </c>
      <c r="L21" s="59">
        <f>SUM(L17:L20)</f>
        <v>0</v>
      </c>
    </row>
    <row r="22" spans="1:12" s="3" customFormat="1" ht="24.75" customHeight="1">
      <c r="A22" s="499" t="s">
        <v>2473</v>
      </c>
      <c r="B22" s="500"/>
      <c r="C22" s="500"/>
      <c r="D22" s="500"/>
      <c r="E22" s="500"/>
      <c r="F22" s="500"/>
      <c r="G22" s="500"/>
      <c r="H22" s="500"/>
      <c r="I22" s="4">
        <v>13</v>
      </c>
      <c r="J22" s="139"/>
      <c r="K22" s="54">
        <f>IF(K16&gt;K21,K16-K21,0)</f>
        <v>0</v>
      </c>
      <c r="L22" s="59">
        <f>IF(L16&gt;L21,L16-L21,0)</f>
        <v>0</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0</v>
      </c>
      <c r="L34" s="59">
        <f>SUM(L31:L33)</f>
        <v>0</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0</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0</v>
      </c>
      <c r="L47" s="59">
        <f>SUM(L42:L46)</f>
        <v>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E1" sqref="E1"/>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1</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1</v>
      </c>
      <c r="R3" s="207" t="s">
        <v>177</v>
      </c>
    </row>
    <row r="4" spans="1:12" s="3" customFormat="1" ht="19.5" customHeight="1" thickBot="1">
      <c r="A4" s="586" t="str">
        <f>"u razdoblju "&amp;IF(Opci!E5&lt;&gt;"",TEXT(Opci!E5,"DD.MM.YYYY."),"__.__.____.")&amp;" do "&amp;IF(Opci!H5&lt;&gt;"",TEXT(Opci!H5,"DD.MM.YYYY."),"__.__.____.")</f>
        <v>u razdoblju 01.01.2014. do 31.12.2014.</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31407797858; IVKOM DD</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v>22537609</v>
      </c>
      <c r="L10" s="60">
        <v>15224515</v>
      </c>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v>83310</v>
      </c>
      <c r="L14" s="60">
        <v>67664</v>
      </c>
    </row>
    <row r="15" spans="1:12" s="3" customFormat="1" ht="13.5" customHeight="1">
      <c r="A15" s="499" t="s">
        <v>1048</v>
      </c>
      <c r="B15" s="500"/>
      <c r="C15" s="500"/>
      <c r="D15" s="500"/>
      <c r="E15" s="500"/>
      <c r="F15" s="500"/>
      <c r="G15" s="500"/>
      <c r="H15" s="500"/>
      <c r="I15" s="4">
        <v>6</v>
      </c>
      <c r="J15" s="139"/>
      <c r="K15" s="54">
        <f>SUM(K10:K14)</f>
        <v>22620919</v>
      </c>
      <c r="L15" s="59">
        <f>SUM(L10:L14)</f>
        <v>15292179</v>
      </c>
    </row>
    <row r="16" spans="1:12" s="3" customFormat="1" ht="13.5" customHeight="1">
      <c r="A16" s="477" t="s">
        <v>1494</v>
      </c>
      <c r="B16" s="478"/>
      <c r="C16" s="478"/>
      <c r="D16" s="478"/>
      <c r="E16" s="478"/>
      <c r="F16" s="478"/>
      <c r="G16" s="478"/>
      <c r="H16" s="478"/>
      <c r="I16" s="4">
        <v>7</v>
      </c>
      <c r="J16" s="139"/>
      <c r="K16" s="53">
        <v>3927818</v>
      </c>
      <c r="L16" s="60">
        <v>4313797</v>
      </c>
    </row>
    <row r="17" spans="1:12" s="3" customFormat="1" ht="13.5" customHeight="1">
      <c r="A17" s="477" t="s">
        <v>1495</v>
      </c>
      <c r="B17" s="478"/>
      <c r="C17" s="478"/>
      <c r="D17" s="478"/>
      <c r="E17" s="478"/>
      <c r="F17" s="478"/>
      <c r="G17" s="478"/>
      <c r="H17" s="478"/>
      <c r="I17" s="4">
        <v>8</v>
      </c>
      <c r="J17" s="139"/>
      <c r="K17" s="53">
        <v>6214470</v>
      </c>
      <c r="L17" s="60">
        <v>4777124</v>
      </c>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v>3219193</v>
      </c>
      <c r="L20" s="60">
        <v>3301046</v>
      </c>
    </row>
    <row r="21" spans="1:12" s="3" customFormat="1" ht="13.5" customHeight="1">
      <c r="A21" s="477" t="s">
        <v>1499</v>
      </c>
      <c r="B21" s="478"/>
      <c r="C21" s="478"/>
      <c r="D21" s="478"/>
      <c r="E21" s="478"/>
      <c r="F21" s="478"/>
      <c r="G21" s="478"/>
      <c r="H21" s="478"/>
      <c r="I21" s="4">
        <v>12</v>
      </c>
      <c r="J21" s="139"/>
      <c r="K21" s="53">
        <v>240483</v>
      </c>
      <c r="L21" s="60">
        <v>66495</v>
      </c>
    </row>
    <row r="22" spans="1:12" s="3" customFormat="1" ht="13.5" customHeight="1">
      <c r="A22" s="499" t="s">
        <v>1074</v>
      </c>
      <c r="B22" s="500"/>
      <c r="C22" s="500"/>
      <c r="D22" s="500"/>
      <c r="E22" s="500"/>
      <c r="F22" s="500"/>
      <c r="G22" s="500"/>
      <c r="H22" s="500"/>
      <c r="I22" s="4">
        <v>13</v>
      </c>
      <c r="J22" s="139"/>
      <c r="K22" s="54">
        <f>SUM(K16:K21)</f>
        <v>13601964</v>
      </c>
      <c r="L22" s="59">
        <f>SUM(L16:L21)</f>
        <v>12458462</v>
      </c>
    </row>
    <row r="23" spans="1:12" s="3" customFormat="1" ht="24.75" customHeight="1">
      <c r="A23" s="499" t="s">
        <v>327</v>
      </c>
      <c r="B23" s="594"/>
      <c r="C23" s="594"/>
      <c r="D23" s="594"/>
      <c r="E23" s="594"/>
      <c r="F23" s="594"/>
      <c r="G23" s="594"/>
      <c r="H23" s="595"/>
      <c r="I23" s="4">
        <v>14</v>
      </c>
      <c r="J23" s="139"/>
      <c r="K23" s="54">
        <f>IF(K15&gt;K22,K15-K22,0)</f>
        <v>9018955</v>
      </c>
      <c r="L23" s="59">
        <f>IF(L15&gt;L22,L15-L22,0)</f>
        <v>2833717</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v>2936701</v>
      </c>
      <c r="L30" s="60">
        <v>360645</v>
      </c>
    </row>
    <row r="31" spans="1:12" s="3" customFormat="1" ht="13.5" customHeight="1">
      <c r="A31" s="499" t="s">
        <v>2013</v>
      </c>
      <c r="B31" s="500"/>
      <c r="C31" s="500"/>
      <c r="D31" s="500"/>
      <c r="E31" s="500"/>
      <c r="F31" s="500"/>
      <c r="G31" s="500"/>
      <c r="H31" s="500"/>
      <c r="I31" s="4">
        <v>21</v>
      </c>
      <c r="J31" s="139"/>
      <c r="K31" s="54">
        <f>SUM(K26:K30)</f>
        <v>2936701</v>
      </c>
      <c r="L31" s="59">
        <f>SUM(L26:L30)</f>
        <v>360645</v>
      </c>
    </row>
    <row r="32" spans="1:12" s="3" customFormat="1" ht="13.5" customHeight="1">
      <c r="A32" s="477" t="s">
        <v>2696</v>
      </c>
      <c r="B32" s="478"/>
      <c r="C32" s="478"/>
      <c r="D32" s="478"/>
      <c r="E32" s="478"/>
      <c r="F32" s="478"/>
      <c r="G32" s="478"/>
      <c r="H32" s="478"/>
      <c r="I32" s="4">
        <v>22</v>
      </c>
      <c r="J32" s="139"/>
      <c r="K32" s="53">
        <v>10797927</v>
      </c>
      <c r="L32" s="60">
        <v>3756901</v>
      </c>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v>9650</v>
      </c>
      <c r="L34" s="60">
        <v>2170</v>
      </c>
    </row>
    <row r="35" spans="1:12" s="3" customFormat="1" ht="13.5" customHeight="1">
      <c r="A35" s="499" t="s">
        <v>1077</v>
      </c>
      <c r="B35" s="500"/>
      <c r="C35" s="500"/>
      <c r="D35" s="500"/>
      <c r="E35" s="500"/>
      <c r="F35" s="500"/>
      <c r="G35" s="500"/>
      <c r="H35" s="500"/>
      <c r="I35" s="4">
        <v>25</v>
      </c>
      <c r="J35" s="139"/>
      <c r="K35" s="54">
        <f>SUM(K32:K34)</f>
        <v>10807577</v>
      </c>
      <c r="L35" s="59">
        <f>SUM(L32:L34)</f>
        <v>3759071</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7870876</v>
      </c>
      <c r="L37" s="59">
        <f>IF(L35&gt;L31,L35-L31,0)</f>
        <v>3398426</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v>4500000</v>
      </c>
      <c r="L40" s="60">
        <v>2000000</v>
      </c>
    </row>
    <row r="41" spans="1:12" s="3" customFormat="1" ht="13.5" customHeight="1">
      <c r="A41" s="477" t="s">
        <v>1276</v>
      </c>
      <c r="B41" s="478"/>
      <c r="C41" s="478"/>
      <c r="D41" s="478"/>
      <c r="E41" s="478"/>
      <c r="F41" s="478"/>
      <c r="G41" s="478"/>
      <c r="H41" s="478"/>
      <c r="I41" s="4">
        <v>30</v>
      </c>
      <c r="J41" s="139"/>
      <c r="K41" s="53">
        <v>107358</v>
      </c>
      <c r="L41" s="60">
        <v>61751</v>
      </c>
    </row>
    <row r="42" spans="1:12" s="3" customFormat="1" ht="13.5" customHeight="1">
      <c r="A42" s="499" t="s">
        <v>1078</v>
      </c>
      <c r="B42" s="500"/>
      <c r="C42" s="500"/>
      <c r="D42" s="500"/>
      <c r="E42" s="500"/>
      <c r="F42" s="500"/>
      <c r="G42" s="500"/>
      <c r="H42" s="500"/>
      <c r="I42" s="4">
        <v>31</v>
      </c>
      <c r="J42" s="139"/>
      <c r="K42" s="54">
        <f>SUM(K39:K41)</f>
        <v>4607358</v>
      </c>
      <c r="L42" s="59">
        <f>SUM(L39:L41)</f>
        <v>2061751</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v>7108599</v>
      </c>
      <c r="L47" s="60">
        <v>2572906</v>
      </c>
    </row>
    <row r="48" spans="1:12" s="3" customFormat="1" ht="13.5" customHeight="1">
      <c r="A48" s="499" t="s">
        <v>1921</v>
      </c>
      <c r="B48" s="500"/>
      <c r="C48" s="500"/>
      <c r="D48" s="500"/>
      <c r="E48" s="500"/>
      <c r="F48" s="500"/>
      <c r="G48" s="500"/>
      <c r="H48" s="500"/>
      <c r="I48" s="4">
        <v>37</v>
      </c>
      <c r="J48" s="139"/>
      <c r="K48" s="54">
        <f>SUM(K43:K47)</f>
        <v>7108599</v>
      </c>
      <c r="L48" s="59">
        <f>SUM(L43:L47)</f>
        <v>2572906</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2501241</v>
      </c>
      <c r="L50" s="59">
        <f>IF(L48&gt;L42,L48-L42,0)</f>
        <v>511155</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1353162</v>
      </c>
      <c r="L52" s="59">
        <f>IF(L24-L23+L37-L36+L50-L49&gt;0,L24-L23+L37-L36+L50-L49,0)</f>
        <v>1075864</v>
      </c>
    </row>
    <row r="53" spans="1:12" s="3" customFormat="1" ht="13.5" customHeight="1">
      <c r="A53" s="499" t="s">
        <v>222</v>
      </c>
      <c r="B53" s="500"/>
      <c r="C53" s="500"/>
      <c r="D53" s="500"/>
      <c r="E53" s="500"/>
      <c r="F53" s="500"/>
      <c r="G53" s="500"/>
      <c r="H53" s="500"/>
      <c r="I53" s="4">
        <v>42</v>
      </c>
      <c r="J53" s="139"/>
      <c r="K53" s="53">
        <v>6920147</v>
      </c>
      <c r="L53" s="60">
        <v>5566985</v>
      </c>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v>1353162</v>
      </c>
      <c r="L55" s="60">
        <v>1075864</v>
      </c>
    </row>
    <row r="56" spans="1:12" s="3" customFormat="1" ht="13.5" customHeight="1">
      <c r="A56" s="519" t="s">
        <v>945</v>
      </c>
      <c r="B56" s="520"/>
      <c r="C56" s="520"/>
      <c r="D56" s="520"/>
      <c r="E56" s="520"/>
      <c r="F56" s="520"/>
      <c r="G56" s="520"/>
      <c r="H56" s="520"/>
      <c r="I56" s="15">
        <v>45</v>
      </c>
      <c r="J56" s="140"/>
      <c r="K56" s="55">
        <f>K53+K54-K55</f>
        <v>5566985</v>
      </c>
      <c r="L56" s="71">
        <f>L53+L54-L55</f>
        <v>4491121</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Brankica Kušen</cp:lastModifiedBy>
  <cp:lastPrinted>2016-03-15T08:36:46Z</cp:lastPrinted>
  <dcterms:created xsi:type="dcterms:W3CDTF">2008-10-17T11:51:54Z</dcterms:created>
  <dcterms:modified xsi:type="dcterms:W3CDTF">2016-03-30T05:21:04Z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